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G9/w+HqYq30UUUdN8p60Q1kNLNYZ/+MpIRqKbHxlg3S7H4fnUtuBh6VXPnLZkFLUf6gX+jbL0knI32wiuWjGWw==" workbookSaltValue="UGzKp96t4zfPS/Y5o/xwQ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AV18" i="2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F11" i="8" s="1"/>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EL19" i="8"/>
  <c r="AP12" i="11"/>
  <c r="EN19" i="8"/>
  <c r="F12" i="21"/>
  <c r="G10" i="3"/>
  <c r="G12" i="12"/>
  <c r="BA13" i="16"/>
  <c r="AP10" i="11"/>
  <c r="Y12" i="11"/>
  <c r="T10" i="21"/>
  <c r="ES19" i="8"/>
  <c r="G18" i="12"/>
  <c r="R8" i="9"/>
  <c r="X12" i="21" s="1"/>
  <c r="BM19" i="8"/>
  <c r="AL13" i="16"/>
  <c r="BJ17" i="11"/>
  <c r="V11" i="16"/>
  <c r="BL12" i="11"/>
  <c r="S13" i="16"/>
  <c r="V12" i="21"/>
  <c r="P13" i="16"/>
  <c r="AM13" i="20"/>
  <c r="F13" i="7"/>
  <c r="T13" i="12"/>
  <c r="BI10" i="11"/>
  <c r="BJ11" i="11"/>
  <c r="BG15" i="11"/>
  <c r="T15" i="16"/>
  <c r="BV12" i="16"/>
  <c r="U10" i="17"/>
  <c r="S12" i="14"/>
  <c r="V12" i="14" s="1"/>
  <c r="BG12" i="11"/>
  <c r="BH10" i="11"/>
  <c r="AQ10" i="21"/>
  <c r="BJ10" i="11"/>
  <c r="BH11" i="11"/>
  <c r="T11" i="11"/>
  <c r="AQ12" i="21"/>
  <c r="BJ16" i="11"/>
  <c r="BL16" i="11"/>
  <c r="BG10" i="8"/>
  <c r="BD15" i="8"/>
  <c r="BD9"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AO17" i="11" l="1"/>
  <c r="B17" i="6"/>
  <c r="BD17" i="8"/>
  <c r="BM18" i="16"/>
  <c r="L19" i="8"/>
  <c r="AO15" i="11"/>
  <c r="BF15" i="8"/>
  <c r="E18" i="12"/>
  <c r="AC10" i="11"/>
  <c r="D10" i="6"/>
  <c r="AE19" i="8"/>
  <c r="Q19" i="8"/>
  <c r="Z13" i="17"/>
  <c r="BF9" i="8"/>
  <c r="J9" i="7" s="1"/>
  <c r="BG9" i="8"/>
  <c r="B13" i="7"/>
  <c r="S19" i="8"/>
  <c r="K9" i="7"/>
  <c r="J10" i="2"/>
  <c r="E9" i="6"/>
  <c r="K9" i="12" s="1"/>
  <c r="AA9" i="16"/>
  <c r="L9" i="2"/>
  <c r="U9" i="17"/>
  <c r="U19" i="17" s="1"/>
  <c r="X10" i="21"/>
  <c r="L16" i="2"/>
  <c r="L15" i="2"/>
  <c r="L10" i="2"/>
  <c r="BK10" i="11"/>
  <c r="BH12" i="16"/>
  <c r="BH16" i="11"/>
  <c r="BG16" i="11"/>
  <c r="BK16" i="11"/>
  <c r="T12" i="11"/>
  <c r="BI9" i="11"/>
  <c r="Q17" i="17"/>
  <c r="S11" i="14"/>
  <c r="V11" i="14" s="1"/>
  <c r="BU16" i="17"/>
  <c r="BV11" i="16"/>
  <c r="BV17" i="16"/>
  <c r="BK17" i="11"/>
  <c r="BJ12" i="11"/>
  <c r="S16" i="14"/>
  <c r="V16" i="14" s="1"/>
  <c r="S9" i="17"/>
  <c r="AO9" i="11"/>
  <c r="BF16" i="11"/>
  <c r="BH15" i="16"/>
  <c r="BH9" i="16"/>
  <c r="F15" i="16"/>
  <c r="BL15" i="16" s="1"/>
  <c r="BE12" i="21"/>
  <c r="BE9" i="13"/>
  <c r="AL9" i="11"/>
  <c r="E11" i="6"/>
  <c r="BM9" i="11"/>
  <c r="S17" i="17"/>
  <c r="BF15" i="11"/>
  <c r="BM17" i="11"/>
  <c r="Q15" i="17"/>
  <c r="BH10" i="16"/>
  <c r="R11" i="14"/>
  <c r="BL10" i="11"/>
  <c r="BL15" i="11"/>
  <c r="BF12" i="11"/>
  <c r="P15" i="17"/>
  <c r="S15" i="1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<sst xmlns="http://schemas.openxmlformats.org/spreadsheetml/2006/main" count="2094" uniqueCount="913">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</sst>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eZh7vm7tOyq0lFHULFGpbgz6XHvSf0OOs9GpvnkGm9hSDoOwbA1QVSFtdylhg1yHjLuYgM1QpnI1Y1o4fb7LQ==" saltValue="tZRFm7puf25Btugl1Vpx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35.962142857142858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170</v>
      </c>
      <c r="D10" s="229">
        <f>IF(ISNUMBER(Datos!I10),Datos!I10," - ")</f>
        <v>170</v>
      </c>
      <c r="E10" s="230">
        <f>IF(ISNUMBER(Datos!J10),Datos!J10," - ")</f>
        <v>22</v>
      </c>
      <c r="F10" s="230">
        <f>IF(ISNUMBER(Datos!K10),Datos!K10," - ")</f>
        <v>7</v>
      </c>
      <c r="G10" s="1189" t="str">
        <f>IF(Datos!E10&lt;&gt;"",Datos!E10,Datos!D10)</f>
        <v>37</v>
      </c>
      <c r="H10" s="231">
        <f>IF(ISNUMBER(Datos!L10),Datos!L10," - ")</f>
        <v>185</v>
      </c>
      <c r="I10" s="1199" t="str">
        <f>IF(ISNUMBER(Datos!AS10/Datos!BM10),Datos!AS10/Datos!BM10," - ")</f>
        <v xml:space="preserve"> - </v>
      </c>
      <c r="J10" s="1200">
        <f>IF(ISNUMBER(Datos!BY10/Datos!CN10),Datos!BY10/Datos!CN10," - ")</f>
        <v>0</v>
      </c>
      <c r="K10" s="234">
        <f t="shared" ref="K10:K12" si="1">IF(ISNUMBER((E10-F10)/C10),(E10-F10)/C10," - ")</f>
        <v>8.8235294117647065E-2</v>
      </c>
      <c r="L10" s="1201">
        <f>IF(ISNUMBER(NºAsuntos!I10/NºAsuntos!G10),(NºAsuntos!I10/NºAsuntos!G10)*11," - ")</f>
        <v>290.71428571428572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170</v>
      </c>
      <c r="D13" s="1206">
        <f>SUBTOTAL(9,D9:D12)</f>
        <v>170</v>
      </c>
      <c r="E13" s="1207">
        <f>SUBTOTAL(9,E9:E12)</f>
        <v>22</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1559</v>
      </c>
      <c r="D15" s="229">
        <f>IF(ISNUMBER(IF(D_I="SI",Datos!I15,Datos!I15+Datos!AC15)),IF(D_I="SI",Datos!I15,Datos!I15+Datos!AC15)," - ")</f>
        <v>1535</v>
      </c>
      <c r="E15" s="230">
        <f>IF(ISNUMBER(IF(D_I="SI",Datos!J15,Datos!J15+Datos!AD15)),IF(D_I="SI",Datos!J15,Datos!J15+Datos!AD15)," - ")</f>
        <v>2174</v>
      </c>
      <c r="F15" s="230">
        <f>IF(ISNUMBER(IF(D_I="SI",Datos!K15,Datos!K15+Datos!AE15)),IF(D_I="SI",Datos!K15,Datos!K15+Datos!AE15)," - ")</f>
        <v>1972</v>
      </c>
      <c r="G15" s="1189" t="str">
        <f>IF(Datos!E15&lt;&gt;"",Datos!E15,Datos!D15)</f>
        <v>03</v>
      </c>
      <c r="H15" s="231">
        <f>IF(ISNUMBER(IF(D_I="SI",Datos!L15,Datos!L15+Datos!AF15)),IF(D_I="SI",Datos!L15,Datos!L15+Datos!AF15)," - ")</f>
        <v>1761</v>
      </c>
      <c r="I15" s="1199" t="str">
        <f>IF(ISNUMBER(Datos!AS15/Datos!BM15),Datos!AS15/Datos!BM15," - ")</f>
        <v xml:space="preserve"> - </v>
      </c>
      <c r="J15" s="1200">
        <f>IF(ISNUMBER(Datos!BY15/Datos!CN15),Datos!BY15/Datos!CN15," - ")</f>
        <v>0</v>
      </c>
      <c r="K15" s="234">
        <f t="shared" ref="K15:K17" si="3">IF(ISNUMBER((E15-F15)/C15),(E15-F15)/C15," - ")</f>
        <v>0.12957023733162285</v>
      </c>
      <c r="L15" s="1201">
        <f>IF(ISNUMBER(NºAsuntos!I15/NºAsuntos!G15),(NºAsuntos!I15/NºAsuntos!G15)*11," - ")</f>
        <v>9.8230223123732259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161</v>
      </c>
      <c r="D17" s="229">
        <f>IF(ISNUMBER(IF(D_I="SI",Datos!I17,Datos!I17+Datos!AC17)),IF(D_I="SI",Datos!I17,Datos!I17+Datos!AC17)," - ")</f>
        <v>161</v>
      </c>
      <c r="E17" s="230">
        <f>IF(ISNUMBER(IF(D_I="SI",Datos!J17,Datos!J17+Datos!AD17)),IF(D_I="SI",Datos!J17,Datos!J17+Datos!AD17)," - ")</f>
        <v>384</v>
      </c>
      <c r="F17" s="230">
        <f>IF(ISNUMBER(IF(D_I="SI",Datos!K17,Datos!K17+Datos!AE17)),IF(D_I="SI",Datos!K17,Datos!K17+Datos!AE17)," - ")</f>
        <v>363</v>
      </c>
      <c r="G17" s="1189" t="str">
        <f>IF(Datos!E17&lt;&gt;"",Datos!E17,Datos!D17)</f>
        <v>37</v>
      </c>
      <c r="H17" s="231">
        <f>IF(ISNUMBER(IF(D_I="SI",Datos!L17,Datos!L17+Datos!AF17)),IF(D_I="SI",Datos!L17,Datos!L17+Datos!AF17)," - ")</f>
        <v>182</v>
      </c>
      <c r="I17" s="1199" t="str">
        <f>IF(ISNUMBER(Datos!AS17/Datos!BM17),Datos!AS17/Datos!BM17," - ")</f>
        <v xml:space="preserve"> - </v>
      </c>
      <c r="J17" s="1200" t="str">
        <f>IF(ISNUMBER((Datos!BY17+Datos!BZ17)/Datos!CN17),(Datos!BY17+Datos!BZ17)/Datos!CN17," - ")</f>
        <v xml:space="preserve"> - </v>
      </c>
      <c r="K17" s="234">
        <f t="shared" si="3"/>
        <v>0.13043478260869565</v>
      </c>
      <c r="L17" s="1201">
        <f>IF(ISNUMBER(NºAsuntos!I17/NºAsuntos!G17),(NºAsuntos!I17/NºAsuntos!G17)*11," - ")</f>
        <v>5.5151515151515147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1720</v>
      </c>
      <c r="D18" s="1206">
        <f>SUBTOTAL(9,D15:D17)</f>
        <v>1696</v>
      </c>
      <c r="E18" s="1207">
        <f>SUBTOTAL(9,E15:E17)</f>
        <v>2558</v>
      </c>
      <c r="F18" s="1207">
        <f>SUBTOTAL(9,F15:F17)</f>
        <v>2335</v>
      </c>
      <c r="G18" s="1209" t="str">
        <f ca="1">INDIRECT(CONCATENATE("G",ROW()-1))</f>
        <v>37</v>
      </c>
      <c r="H18" s="1210">
        <f ca="1">SUMIF(G$14:G17,G18,H$14:H17)</f>
        <v>182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1890</v>
      </c>
      <c r="D19" s="1228">
        <f>SUBTOTAL(9,D9:D18)</f>
        <v>1866</v>
      </c>
      <c r="E19" s="1229">
        <f>SUBTOTAL(9,E9:E18)</f>
        <v>2580</v>
      </c>
      <c r="F19" s="1229">
        <f>SUBTOTAL(9,F9:F18)</f>
        <v>2342</v>
      </c>
      <c r="G19" s="1230"/>
      <c r="H19" s="1231">
        <f ca="1">SUMIF(B9:B18,"TOTAL",H9:H18)</f>
        <v>182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3E/3EyYEioRnKjEso8uY9i4taaoglZTsep85o4+ZxdCfKJbAiw6oV/mqRuykXrSEoRRoqR+z9JCPu/H3WxIf0w==" saltValue="4pFT7RV+7YKlDk0/hhPc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rUuFVMJ/e+/lfM/FkPjgzRHI+1zSaPpaqy3NpNL8JwpFdq4DbpqBRrx4Qo9qS3DASirsdxUR80A7MRb3S6VkQ==" saltValue="vTGr86Ia4EXRGfeLNZi3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4428</v>
      </c>
      <c r="J9" s="185">
        <v>1328</v>
      </c>
      <c r="K9" s="185">
        <v>1297</v>
      </c>
      <c r="L9" s="185">
        <v>4462</v>
      </c>
      <c r="M9" s="185">
        <v>286</v>
      </c>
      <c r="N9" s="185">
        <v>509</v>
      </c>
      <c r="O9" s="185">
        <v>552</v>
      </c>
      <c r="P9" s="185">
        <v>352</v>
      </c>
      <c r="Q9" s="185">
        <v>464</v>
      </c>
      <c r="R9" s="185">
        <v>6372</v>
      </c>
      <c r="S9" s="185">
        <v>3183</v>
      </c>
      <c r="T9" s="185">
        <v>1219</v>
      </c>
      <c r="U9" s="185">
        <v>956</v>
      </c>
      <c r="V9" s="185">
        <v>3446</v>
      </c>
      <c r="W9" s="185">
        <v>242</v>
      </c>
      <c r="X9" s="192">
        <v>396</v>
      </c>
      <c r="Y9" s="195">
        <v>117</v>
      </c>
      <c r="Z9" s="185">
        <v>101</v>
      </c>
      <c r="AA9" s="185">
        <v>103</v>
      </c>
      <c r="AB9" s="185">
        <v>115</v>
      </c>
      <c r="AC9" s="185">
        <v>0</v>
      </c>
      <c r="AD9" s="185">
        <v>0</v>
      </c>
      <c r="AE9" s="185">
        <v>0</v>
      </c>
      <c r="AF9" s="192">
        <v>0</v>
      </c>
      <c r="AG9" s="195">
        <v>87</v>
      </c>
      <c r="AH9" s="185">
        <v>88</v>
      </c>
      <c r="AI9" s="185">
        <v>56</v>
      </c>
      <c r="AJ9" s="196">
        <v>119</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3270</v>
      </c>
      <c r="AZ9" s="124">
        <f>IF(ISNUMBER(IF(J_V="SI",T9,T9+AH9)),IF(J_V="SI",T9,T9+AH9)," - ")</f>
        <v>1307</v>
      </c>
      <c r="BA9" s="125">
        <f>IF(ISNUMBER(IF(J_V="SI",U9,U9+AI9)),IF(J_V="SI",U9,U9+AI9)," - ")</f>
        <v>1012</v>
      </c>
      <c r="BB9" s="125">
        <f>IF(ISNUMBER(IF(J_V="SI",V9,V9+AJ9)),IF(J_V="SI",V9,V9+AJ9)," - ")</f>
        <v>3565</v>
      </c>
      <c r="BC9" s="126">
        <f>IF(ISNUMBER(X9),X9," - ")</f>
        <v>396</v>
      </c>
      <c r="BD9" s="127">
        <f>IF(ISNUMBER(BA9/AZ9),BA9/AZ9," - ")</f>
        <v>0.77429227237949505</v>
      </c>
      <c r="BE9" s="128">
        <f>IF(ISNUMBER(BB9/BA9),BB9/BA9, " - ")</f>
        <v>3.5227272727272729</v>
      </c>
      <c r="BF9" s="128">
        <f>IF(ISNUMBER(BC9/BA9),BC9/BA9, " - ")</f>
        <v>0.39130434782608697</v>
      </c>
      <c r="BG9" s="200">
        <f>IF(ISNUMBER((AY9+AZ9)/BA9),(AY9+AZ9)/BA9," - ")</f>
        <v>4.5227272727272725</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170</v>
      </c>
      <c r="J10" s="185">
        <v>22</v>
      </c>
      <c r="K10" s="185">
        <v>7</v>
      </c>
      <c r="L10" s="185">
        <v>185</v>
      </c>
      <c r="M10" s="185">
        <v>3</v>
      </c>
      <c r="N10" s="185">
        <v>0</v>
      </c>
      <c r="O10" s="185">
        <v>3</v>
      </c>
      <c r="P10" s="185">
        <v>7</v>
      </c>
      <c r="Q10" s="185">
        <v>0</v>
      </c>
      <c r="R10" s="185">
        <v>78</v>
      </c>
      <c r="S10" s="185">
        <v>131</v>
      </c>
      <c r="T10" s="185">
        <v>12</v>
      </c>
      <c r="U10" s="185">
        <v>20</v>
      </c>
      <c r="V10" s="185">
        <v>123</v>
      </c>
      <c r="W10" s="185">
        <v>10</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131</v>
      </c>
      <c r="AZ10" s="130">
        <f t="shared" si="0"/>
        <v>12</v>
      </c>
      <c r="BA10" s="130">
        <f t="shared" si="0"/>
        <v>20</v>
      </c>
      <c r="BB10" s="130">
        <f t="shared" si="0"/>
        <v>123</v>
      </c>
      <c r="BC10" s="126">
        <f t="shared" si="0"/>
        <v>10</v>
      </c>
      <c r="BD10" s="127">
        <f>IF(ISNUMBER(BA10/AZ10),BA10/AZ10," - ")</f>
        <v>1.6666666666666667</v>
      </c>
      <c r="BE10" s="128">
        <f>IF(ISNUMBER(BB10/BA10),BB10/BA10, " - ")</f>
        <v>6.15</v>
      </c>
      <c r="BF10" s="128">
        <f>IF(ISNUMBER(BC10/BA10),BC10/BA10, " - ")</f>
        <v>0.5</v>
      </c>
      <c r="BG10" s="200">
        <f>IF(ISNUMBER((AY10+AZ10)/BA10),(AY10+AZ10)/BA10," - ")</f>
        <v>7.15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4598</v>
      </c>
      <c r="J13" s="188">
        <f t="shared" si="6"/>
        <v>1350</v>
      </c>
      <c r="K13" s="188">
        <f t="shared" si="6"/>
        <v>1304</v>
      </c>
      <c r="L13" s="188">
        <f t="shared" si="6"/>
        <v>4647</v>
      </c>
      <c r="M13" s="188">
        <f t="shared" si="6"/>
        <v>289</v>
      </c>
      <c r="N13" s="188">
        <f t="shared" si="6"/>
        <v>509</v>
      </c>
      <c r="O13" s="188">
        <f t="shared" si="6"/>
        <v>555</v>
      </c>
      <c r="P13" s="188">
        <f t="shared" si="6"/>
        <v>359</v>
      </c>
      <c r="Q13" s="188">
        <f t="shared" si="6"/>
        <v>464</v>
      </c>
      <c r="R13" s="188">
        <f t="shared" si="6"/>
        <v>6450</v>
      </c>
      <c r="S13" s="188">
        <f t="shared" si="6"/>
        <v>3314</v>
      </c>
      <c r="T13" s="188">
        <f t="shared" si="6"/>
        <v>1231</v>
      </c>
      <c r="U13" s="188">
        <f t="shared" si="6"/>
        <v>976</v>
      </c>
      <c r="V13" s="188">
        <f t="shared" si="6"/>
        <v>3569</v>
      </c>
      <c r="W13" s="188">
        <f t="shared" si="6"/>
        <v>252</v>
      </c>
      <c r="X13" s="188">
        <f t="shared" si="6"/>
        <v>401</v>
      </c>
      <c r="Y13" s="188">
        <f t="shared" si="6"/>
        <v>117</v>
      </c>
      <c r="Z13" s="188">
        <f t="shared" si="6"/>
        <v>101</v>
      </c>
      <c r="AA13" s="188">
        <f t="shared" si="6"/>
        <v>103</v>
      </c>
      <c r="AB13" s="188">
        <f t="shared" si="6"/>
        <v>115</v>
      </c>
      <c r="AC13" s="188">
        <f t="shared" si="6"/>
        <v>0</v>
      </c>
      <c r="AD13" s="188">
        <f t="shared" si="6"/>
        <v>0</v>
      </c>
      <c r="AE13" s="188">
        <f t="shared" si="6"/>
        <v>0</v>
      </c>
      <c r="AF13" s="188">
        <f>SUBTOTAL(9,AF9:AF12)</f>
        <v>0</v>
      </c>
      <c r="AG13" s="188">
        <f t="shared" ref="AG13:AT13" si="7">SUBTOTAL(9,AG8:AG12)</f>
        <v>87</v>
      </c>
      <c r="AH13" s="188">
        <f t="shared" si="7"/>
        <v>88</v>
      </c>
      <c r="AI13" s="188">
        <f t="shared" si="7"/>
        <v>56</v>
      </c>
      <c r="AJ13" s="188">
        <f t="shared" si="7"/>
        <v>119</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3401</v>
      </c>
      <c r="AZ13" s="188">
        <f>SUBTOTAL(9,AZ8:AZ12)</f>
        <v>1319</v>
      </c>
      <c r="BA13" s="188">
        <f>SUBTOTAL(9,BA8:BA12)</f>
        <v>1032</v>
      </c>
      <c r="BB13" s="188">
        <f>SUBTOTAL(9,BB8:BB12)</f>
        <v>3688</v>
      </c>
      <c r="BC13" s="188">
        <f>SUBTOTAL(9,BC8:BC12)</f>
        <v>406</v>
      </c>
      <c r="BD13" s="209">
        <f>IF(ISNUMBER(BA13/AZ13),BA13/AZ13," - ")</f>
        <v>0.78241091736163759</v>
      </c>
      <c r="BE13" s="210">
        <f>IF(ISNUMBER(BB13/BA13),BB13/BA13, " - ")</f>
        <v>3.5736434108527133</v>
      </c>
      <c r="BF13" s="210">
        <f>IF(ISNUMBER(BC13/BA13),BC13/BA13, " - ")</f>
        <v>0.39341085271317827</v>
      </c>
      <c r="BG13" s="211">
        <f>IF(ISNUMBER((AY13+AZ13)/BA13),(AY13+AZ13)/BA13," - ")</f>
        <v>4.5736434108527133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1535</v>
      </c>
      <c r="J15" s="187">
        <v>2174</v>
      </c>
      <c r="K15" s="187">
        <v>1972</v>
      </c>
      <c r="L15" s="187">
        <v>1761</v>
      </c>
      <c r="M15" s="187">
        <v>149</v>
      </c>
      <c r="N15" s="187">
        <v>1346</v>
      </c>
      <c r="O15" s="185">
        <v>18</v>
      </c>
      <c r="P15" s="187">
        <v>28</v>
      </c>
      <c r="Q15" s="187">
        <v>25</v>
      </c>
      <c r="R15" s="187">
        <v>167</v>
      </c>
      <c r="S15" s="187">
        <v>1390</v>
      </c>
      <c r="T15" s="187">
        <v>1948</v>
      </c>
      <c r="U15" s="187">
        <v>1972</v>
      </c>
      <c r="V15" s="187">
        <v>1366</v>
      </c>
      <c r="W15" s="187">
        <v>195</v>
      </c>
      <c r="X15" s="193">
        <v>1410</v>
      </c>
      <c r="Y15" s="206">
        <v>0</v>
      </c>
      <c r="Z15" s="187">
        <v>0</v>
      </c>
      <c r="AA15" s="187">
        <v>0</v>
      </c>
      <c r="AB15" s="187">
        <v>0</v>
      </c>
      <c r="AC15" s="187">
        <v>0</v>
      </c>
      <c r="AD15" s="187">
        <v>0</v>
      </c>
      <c r="AE15" s="187">
        <v>0</v>
      </c>
      <c r="AF15" s="193">
        <v>0</v>
      </c>
      <c r="AG15" s="206">
        <v>0</v>
      </c>
      <c r="AH15" s="187">
        <v>0</v>
      </c>
      <c r="AI15" s="187">
        <v>0</v>
      </c>
      <c r="AJ15" s="207">
        <v>0</v>
      </c>
      <c r="AK15" s="186">
        <v>0</v>
      </c>
      <c r="AL15" s="187">
        <v>2</v>
      </c>
      <c r="AM15" s="187">
        <v>0</v>
      </c>
      <c r="AN15" s="193">
        <v>2</v>
      </c>
      <c r="AO15" s="263">
        <v>3</v>
      </c>
      <c r="AP15" s="159">
        <v>3</v>
      </c>
      <c r="AQ15" s="159">
        <v>3</v>
      </c>
      <c r="AR15" s="159">
        <v>3</v>
      </c>
      <c r="AS15" s="349" t="s">
        <v>531</v>
      </c>
      <c r="AT15" s="207" t="s">
        <v>329</v>
      </c>
      <c r="AU15" s="206"/>
      <c r="AV15" s="207"/>
      <c r="AW15" s="206"/>
      <c r="AX15" s="207"/>
      <c r="AY15" s="129">
        <f t="shared" ref="AY15:BB16" si="9">IF(ISNUMBER(IF(D_I="SI",S15,S15+AK15)),IF(D_I="SI",S15,S15+AK15)," - ")</f>
        <v>1390</v>
      </c>
      <c r="AZ15" s="130">
        <f t="shared" si="9"/>
        <v>1948</v>
      </c>
      <c r="BA15" s="130">
        <f t="shared" si="9"/>
        <v>1972</v>
      </c>
      <c r="BB15" s="130">
        <f t="shared" si="9"/>
        <v>1366</v>
      </c>
      <c r="BC15" s="126">
        <f>IF(ISNUMBER(W15),W15," - ")</f>
        <v>195</v>
      </c>
      <c r="BD15" s="127">
        <f>IF(ISNUMBER(BA15/AZ15),BA15/AZ15," - ")</f>
        <v>1.0123203285420945</v>
      </c>
      <c r="BE15" s="128">
        <f>IF(ISNUMBER(BB15/BA15),BB15/BA15, " - ")</f>
        <v>0.69269776876267752</v>
      </c>
      <c r="BF15" s="128">
        <f>IF(ISNUMBER(BC15/BA15),BC15/BA15, " - ")</f>
        <v>9.8884381338742389E-2</v>
      </c>
      <c r="BG15" s="200">
        <f t="shared" ref="BG15:BG16" si="10">IF(ISNUMBER((AY15+AZ15)/BA15),(AY15+AZ15)/BA15," - ")</f>
        <v>1.6926977687626774</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161</v>
      </c>
      <c r="J17" s="187">
        <v>384</v>
      </c>
      <c r="K17" s="187">
        <v>363</v>
      </c>
      <c r="L17" s="187">
        <v>182</v>
      </c>
      <c r="M17" s="187">
        <v>53</v>
      </c>
      <c r="N17" s="187">
        <v>257</v>
      </c>
      <c r="O17" s="187">
        <v>0</v>
      </c>
      <c r="P17" s="187">
        <v>10</v>
      </c>
      <c r="Q17" s="187">
        <v>6</v>
      </c>
      <c r="R17" s="187">
        <v>44</v>
      </c>
      <c r="S17" s="187">
        <v>290</v>
      </c>
      <c r="T17" s="187">
        <v>331</v>
      </c>
      <c r="U17" s="187">
        <v>363</v>
      </c>
      <c r="V17" s="187">
        <v>258</v>
      </c>
      <c r="W17" s="187">
        <v>70</v>
      </c>
      <c r="X17" s="193">
        <v>217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290</v>
      </c>
      <c r="AZ17" s="130">
        <f t="shared" si="14"/>
        <v>331</v>
      </c>
      <c r="BA17" s="130">
        <f t="shared" si="14"/>
        <v>363</v>
      </c>
      <c r="BB17" s="130">
        <f t="shared" si="14"/>
        <v>258</v>
      </c>
      <c r="BC17" s="126">
        <f>IF(ISNUMBER(W17),W17," - ")</f>
        <v>70</v>
      </c>
      <c r="BD17" s="127">
        <f>IF(ISNUMBER(BA17/AZ17),BA17/AZ17," - ")</f>
        <v>1.0966767371601209</v>
      </c>
      <c r="BE17" s="128">
        <f>IF(ISNUMBER(BB17/BA17),BB17/BA17, " - ")</f>
        <v>0.71074380165289253</v>
      </c>
      <c r="BF17" s="128">
        <f>IF(ISNUMBER(BC17/BA17),BC17/BA17, " - ")</f>
        <v>0.1928374655647383</v>
      </c>
      <c r="BG17" s="200">
        <f>IF(ISNUMBER((AY17+AZ17)/BA17),(AY17+AZ17)/BA17," - ")</f>
        <v>1.7107438016528926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1696</v>
      </c>
      <c r="J18" s="188">
        <f t="shared" si="15"/>
        <v>2558</v>
      </c>
      <c r="K18" s="188">
        <f t="shared" si="15"/>
        <v>2335</v>
      </c>
      <c r="L18" s="188">
        <f t="shared" si="15"/>
        <v>1943</v>
      </c>
      <c r="M18" s="188">
        <f t="shared" si="15"/>
        <v>202</v>
      </c>
      <c r="N18" s="188">
        <f t="shared" si="15"/>
        <v>1603</v>
      </c>
      <c r="O18" s="188">
        <f t="shared" si="15"/>
        <v>18</v>
      </c>
      <c r="P18" s="188">
        <f t="shared" si="15"/>
        <v>38</v>
      </c>
      <c r="Q18" s="188">
        <f t="shared" si="15"/>
        <v>31</v>
      </c>
      <c r="R18" s="188">
        <f t="shared" si="15"/>
        <v>211</v>
      </c>
      <c r="S18" s="188">
        <f t="shared" si="15"/>
        <v>1680</v>
      </c>
      <c r="T18" s="188">
        <f t="shared" si="15"/>
        <v>2279</v>
      </c>
      <c r="U18" s="188">
        <f t="shared" si="15"/>
        <v>2335</v>
      </c>
      <c r="V18" s="188">
        <f t="shared" si="15"/>
        <v>1624</v>
      </c>
      <c r="W18" s="188">
        <f t="shared" si="15"/>
        <v>265</v>
      </c>
      <c r="X18" s="188">
        <f t="shared" si="15"/>
        <v>1627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0</v>
      </c>
      <c r="AN18" s="188">
        <f t="shared" si="15"/>
        <v>2</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1680</v>
      </c>
      <c r="AZ18" s="188">
        <f>SUBTOTAL(9,AZ14:AZ17)</f>
        <v>2279</v>
      </c>
      <c r="BA18" s="188">
        <f>SUBTOTAL(9,BA14:BA17)</f>
        <v>2335</v>
      </c>
      <c r="BB18" s="188">
        <f>SUBTOTAL(9,BB14:BB17)</f>
        <v>1624</v>
      </c>
      <c r="BC18" s="188">
        <f>SUBTOTAL(9,BC14:BC17)</f>
        <v>265</v>
      </c>
      <c r="BD18" s="209">
        <f>IF(ISNUMBER(BA18/AZ18),BA18/AZ18," - ")</f>
        <v>1.0245721807810444</v>
      </c>
      <c r="BE18" s="210">
        <f>IF(ISNUMBER(BB18/BA18),BB18/BA18, " - ")</f>
        <v>0.69550321199143472</v>
      </c>
      <c r="BF18" s="210">
        <f>IF(ISNUMBER(BC18/BA18),BC18/BA18, " - ")</f>
        <v>0.11349036402569593</v>
      </c>
      <c r="BG18" s="211">
        <f>IF(ISNUMBER((AY18+AZ18)/BA18),(AY18+AZ18)/BA18," - ")</f>
        <v>1.6955032119914346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6294</v>
      </c>
      <c r="J19" s="135">
        <f t="shared" si="18"/>
        <v>3908</v>
      </c>
      <c r="K19" s="135">
        <f t="shared" si="18"/>
        <v>3639</v>
      </c>
      <c r="L19" s="135">
        <f t="shared" si="18"/>
        <v>6590</v>
      </c>
      <c r="M19" s="135">
        <f t="shared" si="18"/>
        <v>491</v>
      </c>
      <c r="N19" s="135">
        <f t="shared" si="18"/>
        <v>2112</v>
      </c>
      <c r="O19" s="135">
        <f t="shared" si="18"/>
        <v>573</v>
      </c>
      <c r="P19" s="135">
        <f t="shared" si="18"/>
        <v>397</v>
      </c>
      <c r="Q19" s="135">
        <f t="shared" si="18"/>
        <v>495</v>
      </c>
      <c r="R19" s="135">
        <f t="shared" si="18"/>
        <v>6661</v>
      </c>
      <c r="S19" s="135">
        <f t="shared" si="18"/>
        <v>4994</v>
      </c>
      <c r="T19" s="135">
        <f t="shared" si="18"/>
        <v>3510</v>
      </c>
      <c r="U19" s="135">
        <f t="shared" si="18"/>
        <v>3311</v>
      </c>
      <c r="V19" s="135">
        <f t="shared" si="18"/>
        <v>5193</v>
      </c>
      <c r="W19" s="135">
        <f t="shared" si="18"/>
        <v>517</v>
      </c>
      <c r="X19" s="135">
        <f t="shared" si="18"/>
        <v>2028</v>
      </c>
      <c r="Y19" s="135">
        <f t="shared" si="18"/>
        <v>117</v>
      </c>
      <c r="Z19" s="135">
        <f t="shared" si="18"/>
        <v>101</v>
      </c>
      <c r="AA19" s="135">
        <f t="shared" si="18"/>
        <v>103</v>
      </c>
      <c r="AB19" s="135">
        <f t="shared" si="18"/>
        <v>115</v>
      </c>
      <c r="AC19" s="135">
        <f t="shared" si="18"/>
        <v>0</v>
      </c>
      <c r="AD19" s="135">
        <f t="shared" si="18"/>
        <v>0</v>
      </c>
      <c r="AE19" s="135">
        <f t="shared" si="18"/>
        <v>0</v>
      </c>
      <c r="AF19" s="135">
        <f t="shared" si="18"/>
        <v>0</v>
      </c>
      <c r="AG19" s="135">
        <f t="shared" si="18"/>
        <v>87</v>
      </c>
      <c r="AH19" s="135">
        <f t="shared" si="18"/>
        <v>88</v>
      </c>
      <c r="AI19" s="135">
        <f t="shared" si="18"/>
        <v>56</v>
      </c>
      <c r="AJ19" s="135">
        <f t="shared" si="18"/>
        <v>119</v>
      </c>
      <c r="AK19" s="135">
        <f t="shared" si="18"/>
        <v>0</v>
      </c>
      <c r="AL19" s="135">
        <f t="shared" si="18"/>
        <v>2</v>
      </c>
      <c r="AM19" s="135">
        <f t="shared" si="18"/>
        <v>0</v>
      </c>
      <c r="AN19" s="214">
        <f t="shared" si="18"/>
        <v>2</v>
      </c>
      <c r="AO19" s="215">
        <v>9</v>
      </c>
      <c r="AP19" s="215">
        <v>8</v>
      </c>
      <c r="AQ19" s="215">
        <v>8</v>
      </c>
      <c r="AR19" s="215">
        <v>8</v>
      </c>
      <c r="AS19" s="157">
        <f t="shared" si="18"/>
        <v>0</v>
      </c>
      <c r="AT19" s="157">
        <f t="shared" si="18"/>
        <v>0</v>
      </c>
      <c r="AU19" s="215"/>
      <c r="AV19" s="216"/>
      <c r="AW19" s="215"/>
      <c r="AX19" s="216"/>
      <c r="AY19" s="134">
        <f>SUBTOTAL(9,AY9:AY18)</f>
        <v>5081</v>
      </c>
      <c r="AZ19" s="135">
        <f>SUBTOTAL(9,AZ9:AZ18)</f>
        <v>3598</v>
      </c>
      <c r="BA19" s="135">
        <f>SUBTOTAL(9,BA9:BA18)</f>
        <v>3367</v>
      </c>
      <c r="BB19" s="135">
        <f>SUBTOTAL(9,BB9:BB18)</f>
        <v>5312</v>
      </c>
      <c r="BC19" s="136">
        <f>SUBTOTAL(9,BC9:BC18)</f>
        <v>671</v>
      </c>
      <c r="BD19" s="217">
        <f>IF(ISNUMBER(BA19/AZ19),BA19/AZ19," - ")</f>
        <v>0.93579766536964981</v>
      </c>
      <c r="BE19" s="214">
        <f>IF(ISNUMBER(BB19/BA19),BB19/BA19, " - ")</f>
        <v>1.5776655776655777</v>
      </c>
      <c r="BF19" s="214">
        <f>IF(ISNUMBER(BC19/BA19),BC19/BA19, " - ")</f>
        <v>0.19928719928719929</v>
      </c>
      <c r="BG19" s="136">
        <f>IF(ISNUMBER((AY19+AZ19)/BA19),(AY19+AZ19)/BA19," - ")</f>
        <v>2.5776655776655777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Nq+2X3ecOEE6pU9cCusYKnMG7DGwW/Ju4Yx52mW7c+YRJ1Iwsj2SLGW9ffV5iBZ0yJ8Lwl/YETkeSnuNIL+EQ==" saltValue="9UR/uovRFgT1dFDRoSEr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lUPfYl4+upGEHjFxyvH4JjtJRiS8QVTanUZ9+1A1F+MpVGpPwlfT9XSl+VpWnitvLQvzK082R+6mEIJBbt42g==" saltValue="vhKUqM0cK7JyBQmtkCfy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MANACOR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101</v>
      </c>
      <c r="O9" s="503"/>
      <c r="P9" s="503"/>
      <c r="Q9" s="501">
        <f>IF(ISNUMBER(Datos!P9),Datos!P9,0)</f>
        <v>352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464</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115</v>
      </c>
      <c r="AI9" s="503" t="str">
        <f>IF(ISNUMBER(Datos!CD9),Datos!CD9,"-")</f>
        <v>-</v>
      </c>
      <c r="AJ9" s="503" t="str">
        <f>IF(ISNUMBER(Datos!EN9),Datos!EN9," - ")</f>
        <v xml:space="preserve"> - </v>
      </c>
      <c r="AK9" s="503"/>
      <c r="AL9" s="504"/>
      <c r="AM9" s="671">
        <f>IF(ISNUMBER(Datos!R9),Datos!R9," - ")</f>
        <v>6372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286</v>
      </c>
      <c r="BD9" s="619">
        <f>IF(ISNUMBER(Datos!N9),Datos!N9," - ")</f>
        <v>509</v>
      </c>
      <c r="BE9" s="619" t="str">
        <f>IF(ISNUMBER(Datos!BW9),Datos!BW9," - ")</f>
        <v xml:space="preserve"> - </v>
      </c>
      <c r="BF9" s="667" t="str">
        <f>IF(ISNUMBER(Datos!BX9),Datos!BX9," - ")</f>
        <v xml:space="preserve"> - </v>
      </c>
      <c r="BG9" s="668">
        <f>IF(ISNUMBER(IF(J_V="SI",Datos!K9/Datos!J9,(Datos!K9+Datos!AA9)/(Datos!J9+Datos!Z9))),IF(J_V="SI",Datos!K9/Datos!J9,(Datos!K9+Datos!AA9)/(Datos!J9+Datos!Z9))," - ")</f>
        <v>0.97970608817354798</v>
      </c>
      <c r="BH9" s="669">
        <f>IF(ISNUMBER(((IF(J_V="SI",Datos!L9/Datos!K9,(Datos!L9+Datos!AB9)/(Datos!K9+Datos!AA9)))*11)/factor_trimestre),((IF(J_V="SI",Datos!L9/Datos!K9,(Datos!L9+Datos!AB9)/(Datos!K9+Datos!AA9)))*11)/factor_trimestre," - ")</f>
        <v>6.5385714285714291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-1.7273288093769278E-2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170</v>
      </c>
      <c r="G10" s="497">
        <f>IF(ISNUMBER(Datos!I10),Datos!I10," - ")</f>
        <v>170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185</v>
      </c>
      <c r="AG10" s="503"/>
      <c r="AH10" s="503"/>
      <c r="AI10" s="503"/>
      <c r="AJ10" s="503"/>
      <c r="AK10" s="503"/>
      <c r="AL10" s="504"/>
      <c r="AM10" s="671">
        <f>IF(ISNUMBER(Datos!R10),Datos!R10," - ")</f>
        <v>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0.31818181818181818</v>
      </c>
      <c r="BH10" s="669">
        <f>IF(ISNUMBER(((Datos!L10/Datos!K10)*11)/factor_trimestre),((Datos!L10/Datos!K10)*11)/factor_trimestre," - ")</f>
        <v>52.857142857142861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9.8591549295774641E-2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170</v>
      </c>
      <c r="G13" s="1044">
        <f t="shared" si="0"/>
        <v>170</v>
      </c>
      <c r="H13" s="1045">
        <f t="shared" si="0"/>
        <v>0</v>
      </c>
      <c r="I13" s="1044">
        <f t="shared" si="0"/>
        <v>0</v>
      </c>
      <c r="J13" s="1013">
        <f t="shared" si="0"/>
        <v>0</v>
      </c>
      <c r="K13" s="1013">
        <f t="shared" si="0"/>
        <v>0</v>
      </c>
      <c r="L13" s="1045">
        <f t="shared" si="0"/>
        <v>0</v>
      </c>
      <c r="M13" s="1045">
        <f t="shared" si="0"/>
        <v>0</v>
      </c>
      <c r="N13" s="1045">
        <f t="shared" si="0"/>
        <v>101</v>
      </c>
      <c r="O13" s="1046">
        <f t="shared" si="0"/>
        <v>0</v>
      </c>
      <c r="P13" s="1046">
        <f t="shared" si="0"/>
        <v>0</v>
      </c>
      <c r="Q13" s="1045">
        <f t="shared" si="0"/>
        <v>359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464</v>
      </c>
      <c r="AD13" s="1045">
        <f t="shared" si="1"/>
        <v>0</v>
      </c>
      <c r="AE13" s="1045">
        <f t="shared" si="1"/>
        <v>0</v>
      </c>
      <c r="AF13" s="1045">
        <f t="shared" si="1"/>
        <v>185</v>
      </c>
      <c r="AG13" s="1045">
        <f t="shared" si="1"/>
        <v>0</v>
      </c>
      <c r="AH13" s="1045">
        <f t="shared" si="1"/>
        <v>115</v>
      </c>
      <c r="AI13" s="1045">
        <f t="shared" si="1"/>
        <v>0</v>
      </c>
      <c r="AJ13" s="1045">
        <f t="shared" si="1"/>
        <v>0</v>
      </c>
      <c r="AK13" s="1045">
        <f t="shared" si="1"/>
        <v>0</v>
      </c>
      <c r="AL13" s="1045">
        <f t="shared" si="1"/>
        <v>0</v>
      </c>
      <c r="AM13" s="1045">
        <f t="shared" si="1"/>
        <v>6450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289</v>
      </c>
      <c r="BD13" s="1045">
        <f t="shared" si="1"/>
        <v>509</v>
      </c>
      <c r="BE13" s="1045">
        <f t="shared" si="1"/>
        <v>0</v>
      </c>
      <c r="BF13" s="1045">
        <f t="shared" si="1"/>
        <v>0</v>
      </c>
      <c r="BG13" s="1045">
        <f>IF(ISNUMBER(Datos!K13/Datos!J13),Datos!K13/Datos!J13," - ")</f>
        <v>0.96592592592592597</v>
      </c>
      <c r="BH13" s="1049">
        <f>IF(ISNUMBER(((Datos!L13/Datos!K13)*11)/factor_trimestre),((Datos!L13/Datos!K13)*11)/factor_trimestre," - ")</f>
        <v>7.1273006134969314</v>
      </c>
      <c r="BI13" s="1045">
        <f>IF(ISNUMBER('Resol  Asuntos'!D13/NºAsuntos!G13),'Resol  Asuntos'!D13/NºAsuntos!G13," - ")</f>
        <v>0.20540156361051884</v>
      </c>
      <c r="BJ13" s="1045" t="str">
        <f>IF(ISNUMBER(Datos!CI13/Datos!CJ13),Datos!CI13/Datos!CJ13," - ")</f>
        <v xml:space="preserve"> - </v>
      </c>
      <c r="BK13" s="1045">
        <f>SUBTOTAL(9,BK8:BK12)</f>
        <v>0</v>
      </c>
      <c r="BL13" s="1045">
        <f>IF(ISNUMBER((I13-AB13+L13)/(F13)),(I13-AB13+L13)/(F13)," - ")</f>
        <v>-4.1176470588235294E-2</v>
      </c>
      <c r="BM13" s="1050">
        <f>SUBTOTAL(9,BM9:BM12)</f>
        <v>8.131826120200536E-2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1559</v>
      </c>
      <c r="G15" s="650">
        <f>IF(ISNUMBER(IF(D_I="SI",Datos!I15,Datos!I15+Datos!AC15)),IF(D_I="SI",Datos!I15,Datos!I15+Datos!AC15)," - ")</f>
        <v>1535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28</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1972</v>
      </c>
      <c r="AC15" s="230">
        <f>IF(ISNUMBER(Datos!Q15),Datos!Q15," - ")</f>
        <v>25</v>
      </c>
      <c r="AD15" s="343"/>
      <c r="AE15" s="515"/>
      <c r="AF15" s="648">
        <f>IF(ISNUMBER(IF(D_I="SI",Datos!L15,Datos!L15+Datos!AF15)),IF(D_I="SI",Datos!L15,Datos!L15+Datos!AF15)," - ")</f>
        <v>1761</v>
      </c>
      <c r="AG15" s="343"/>
      <c r="AH15" s="343"/>
      <c r="AI15" s="343"/>
      <c r="AJ15" s="503"/>
      <c r="AK15" s="343"/>
      <c r="AL15" s="499"/>
      <c r="AM15" s="344">
        <f>IF(ISNUMBER(Datos!R15),Datos!R15," - ")</f>
        <v>167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149</v>
      </c>
      <c r="BD15" s="233">
        <f>IF(ISNUMBER(Datos!N15),Datos!N15," - ")</f>
        <v>1346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0.90708371665133392</v>
      </c>
      <c r="BH15" s="669">
        <f>IF(ISNUMBER(((IF(D_I="SI",Datos!L15/Datos!K15,(Datos!L15+Datos!AF15)/(Datos!K15+Datos!AE15)))*11)/factor_trimestre),((IF(D_I="SI",Datos!L15/Datos!K15,(Datos!L15+Datos!AF15)/(Datos!K15+Datos!AE15)))*11)/factor_trimestre," - ")</f>
        <v>1.7860040567951321</v>
      </c>
      <c r="BI15" s="247">
        <f>IF(ISNUMBER('Resol  Asuntos'!D15/NºAsuntos!G15),'Resol  Asuntos'!D15/NºAsuntos!G15," - ")</f>
        <v>7.5557809330628806E-2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363</v>
      </c>
      <c r="AC17" s="501">
        <f>IF(ISNUMBER(Datos!Q17),Datos!Q17," - ")</f>
        <v>6</v>
      </c>
      <c r="AD17" s="503"/>
      <c r="AE17" s="515"/>
      <c r="AF17" s="505">
        <f>IF(ISNUMBER(Datos!L17),Datos!L17,"-")</f>
        <v>182</v>
      </c>
      <c r="AG17" s="503"/>
      <c r="AH17" s="503"/>
      <c r="AI17" s="503"/>
      <c r="AJ17" s="503"/>
      <c r="AK17" s="503"/>
      <c r="AL17" s="504"/>
      <c r="AM17" s="671">
        <f>IF(ISNUMBER(Datos!R17),Datos!R17," - ")</f>
        <v>44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53</v>
      </c>
      <c r="BD17" s="619">
        <f>IF(ISNUMBER(Datos!N17),Datos!N17," - ")</f>
        <v>257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0.9453125</v>
      </c>
      <c r="BH17" s="669">
        <f>IF(ISNUMBER(((IF(D_I="SI",Datos!L17/Datos!K17,(Datos!L17+Datos!AF17)/(Datos!K17+Datos!AE17)))*11)/factor_trimestre),((IF(D_I="SI",Datos!L17/Datos!K17,(Datos!L17+Datos!AF17)/(Datos!K17+Datos!AE17)))*11)/factor_trimestre," - ")</f>
        <v>1.002754820936639</v>
      </c>
      <c r="BI17" s="668">
        <f>IF(ISNUMBER('Resol  Asuntos'!D17/NºAsuntos!G17),'Resol  Asuntos'!D17/NºAsuntos!G17," - ")</f>
        <v>0.14600550964187328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1559</v>
      </c>
      <c r="G18" s="1044">
        <f>SUBTOTAL(9,G15:G17)</f>
        <v>1696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2335</v>
      </c>
      <c r="AC18" s="1045">
        <f t="shared" si="4"/>
        <v>31</v>
      </c>
      <c r="AD18" s="1045">
        <f t="shared" si="4"/>
        <v>0</v>
      </c>
      <c r="AE18" s="1045">
        <f t="shared" si="4"/>
        <v>0</v>
      </c>
      <c r="AF18" s="1045">
        <f t="shared" si="4"/>
        <v>1943</v>
      </c>
      <c r="AG18" s="1045">
        <f t="shared" si="4"/>
        <v>0</v>
      </c>
      <c r="AH18" s="1045">
        <f t="shared" si="4"/>
        <v>0</v>
      </c>
      <c r="AI18" s="1045">
        <f t="shared" si="4"/>
        <v>0</v>
      </c>
      <c r="AJ18" s="1045">
        <f t="shared" si="4"/>
        <v>0</v>
      </c>
      <c r="AK18" s="1045">
        <f t="shared" si="4"/>
        <v>0</v>
      </c>
      <c r="AL18" s="1045">
        <f t="shared" si="4"/>
        <v>0</v>
      </c>
      <c r="AM18" s="1045">
        <f t="shared" si="4"/>
        <v>211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202</v>
      </c>
      <c r="BD18" s="1045">
        <f t="shared" si="4"/>
        <v>1603</v>
      </c>
      <c r="BE18" s="1045">
        <f t="shared" si="4"/>
        <v>0</v>
      </c>
      <c r="BF18" s="1045">
        <f t="shared" si="4"/>
        <v>0</v>
      </c>
      <c r="BG18" s="1045">
        <f>IF(ISNUMBER(Datos!K18/Datos!J18),Datos!K18/Datos!J18," - ")</f>
        <v>0.91282251759186861</v>
      </c>
      <c r="BH18" s="1049">
        <f>IF(ISNUMBER(((Datos!L18/Datos!K18)*11)/factor_trimestre),((Datos!L18/Datos!K18)*11)/factor_trimestre," - ")</f>
        <v>1.6642398286937903</v>
      </c>
      <c r="BI18" s="1045">
        <f>SUBTOTAL(9,BI15:BI17)</f>
        <v>0.22156331897250209</v>
      </c>
      <c r="BJ18" s="1045">
        <f>SUBTOTAL(9,BJ15:BJ17)</f>
        <v>0</v>
      </c>
      <c r="BK18" s="1045">
        <f>SUBTOTAL(9,BK15:BK17)</f>
        <v>0</v>
      </c>
      <c r="BL18" s="1045">
        <f>IF(ISNUMBER((I18-AB18+L18)/(F18)),(I18-AB18+L18)/(F18)," - ")</f>
        <v>-1.4977549711353431</v>
      </c>
      <c r="BM18" s="1051">
        <f>IF(ISNUMBER((Datos!P18-Datos!Q18)/(Datos!R18-Datos!P18+Datos!Q18)),(Datos!P18-Datos!Q18)/(Datos!R18-Datos!P18+Datos!Q18)," - ")</f>
        <v>3.4313725490196081E-2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1729</v>
      </c>
      <c r="G19" s="966">
        <f t="shared" si="6"/>
        <v>1866</v>
      </c>
      <c r="H19" s="968">
        <f t="shared" si="6"/>
        <v>0</v>
      </c>
      <c r="I19" s="966">
        <f t="shared" si="6"/>
        <v>0</v>
      </c>
      <c r="J19" s="968">
        <f t="shared" si="6"/>
        <v>0</v>
      </c>
      <c r="K19" s="968">
        <f t="shared" si="6"/>
        <v>0</v>
      </c>
      <c r="L19" s="1027">
        <f t="shared" si="6"/>
        <v>0</v>
      </c>
      <c r="M19" s="1027">
        <f t="shared" si="6"/>
        <v>0</v>
      </c>
      <c r="N19" s="1027">
        <f t="shared" si="6"/>
        <v>101</v>
      </c>
      <c r="O19" s="1027">
        <f t="shared" si="6"/>
        <v>0</v>
      </c>
      <c r="P19" s="1027">
        <f t="shared" si="6"/>
        <v>0</v>
      </c>
      <c r="Q19" s="968">
        <f t="shared" si="6"/>
        <v>397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2342</v>
      </c>
      <c r="AC19" s="967">
        <f t="shared" si="7"/>
        <v>495</v>
      </c>
      <c r="AD19" s="967">
        <f t="shared" si="7"/>
        <v>0</v>
      </c>
      <c r="AE19" s="967">
        <f t="shared" si="7"/>
        <v>0</v>
      </c>
      <c r="AF19" s="974">
        <f t="shared" si="7"/>
        <v>2128</v>
      </c>
      <c r="AG19" s="974">
        <f t="shared" si="7"/>
        <v>0</v>
      </c>
      <c r="AH19" s="974">
        <f t="shared" si="7"/>
        <v>115</v>
      </c>
      <c r="AI19" s="974">
        <f t="shared" si="7"/>
        <v>0</v>
      </c>
      <c r="AJ19" s="967">
        <f t="shared" si="7"/>
        <v>0</v>
      </c>
      <c r="AK19" s="974">
        <f t="shared" si="7"/>
        <v>0</v>
      </c>
      <c r="AL19" s="974">
        <f t="shared" si="7"/>
        <v>0</v>
      </c>
      <c r="AM19" s="974">
        <f t="shared" si="7"/>
        <v>6661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491</v>
      </c>
      <c r="BD19" s="966">
        <f t="shared" si="7"/>
        <v>2112</v>
      </c>
      <c r="BE19" s="966">
        <f t="shared" si="7"/>
        <v>0</v>
      </c>
      <c r="BF19" s="976">
        <f t="shared" si="7"/>
        <v>0</v>
      </c>
      <c r="BG19" s="1061">
        <f>IF(ISNUMBER(Datos!K19/Datos!J19),Datos!K19/Datos!J19," - ")</f>
        <v>0.93116683725690885</v>
      </c>
      <c r="BH19" s="1061">
        <f>IF(ISNUMBER(((Datos!L19/Datos!K19)*11)/factor_trimestre),((Datos!L19/Datos!K19)*11)/factor_trimestre," - ")</f>
        <v>3.6218741412475954</v>
      </c>
      <c r="BI19" s="959">
        <f>IF(ISNUMBER(Datos!J19/Datos!I19),Datos!J19/Datos!I19," - ")</f>
        <v>0.62090880203368293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-1.3545401966454598</v>
      </c>
      <c r="BM19" s="1035">
        <f>IF(ISNUMBER((Datos!P19-Datos!Q19+R19)/(Datos!R19-Datos!P19+Datos!Q19-R19)),(Datos!P19-Datos!Q19+R19)/(Datos!R19-Datos!P19+Datos!Q19-R19)," - ")</f>
        <v>-1.4499186270158308E-2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746.4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801.93952390439017</v>
      </c>
      <c r="G21" s="600">
        <f>IF(ISNUMBER(STDEV(G8:G18)),STDEV(G8:G18),"-")</f>
        <v>795.42397499698234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1127.486673978899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118.67546783841499</v>
      </c>
      <c r="BD21" s="599"/>
      <c r="BE21" s="599">
        <f>IF(ISNUMBER(STDEV(BE8:BE18)),STDEV(BE8:BE18),"-")</f>
        <v>0</v>
      </c>
      <c r="BF21" s="604">
        <f>IF(ISNUMBER(STDEV(BF8:BF18)),STDEV(BF8:BF18),"-")</f>
        <v>0</v>
      </c>
      <c r="BG21" s="914">
        <f>IF(ISNUMBER(STDEV(BG8:BG18)),STDEV(BG8:BG18),"-")</f>
        <v>0.25633702974821115</v>
      </c>
      <c r="BH21" s="918">
        <f>IF(ISNUMBER(STDEV(BH8:BH18)),STDEV(BH8:BH18),"-")</f>
        <v>20.272122822997009</v>
      </c>
      <c r="BI21" s="253">
        <f>IF(ISNUMBER(STDEV(BI8:BI18)),STDEV(BI8:BI18),"-")</f>
        <v>6.6230634883396394E-2</v>
      </c>
      <c r="BJ21" s="234" t="str">
        <f>IF(ISNUMBER(BL21/BM21),BL21/BM21," - ")</f>
        <v xml:space="preserve"> - </v>
      </c>
      <c r="BK21" s="626"/>
      <c r="BL21" s="607">
        <f>IF(ISNUMBER(STDEV(BL8:BL18)),STDEV(BL8:BL18),"-")</f>
        <v>1.0299565350673932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5Z41+j2gm74lo/c6VWkg8EIrqIS71661rsyqGVOs2x3AQca3W+ovZSOrF04RELQIxwq2zV+Zdb682wuaySy1w==" saltValue="AW+psbac7FUtytKzLHMv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MANACOR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352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464</v>
      </c>
      <c r="AA9" s="505" t="str">
        <f>IF(ISNUMBER(IF(J_V="SI",Datos!L9,Datos!L9+Datos!AB9)-IF(Monitorios="SI",Datos!CD9,0)),
                          IF(J_V="SI",Datos!L9,Datos!L9+Datos!AB9)-IF(Monitorios="SI",Datos!CD9,0),
                          " - ")</f>
        <v xml:space="preserve"> - </v>
      </c>
      <c r="AB9" s="503"/>
      <c r="AC9" s="503"/>
      <c r="AD9" s="516"/>
      <c r="AE9" s="516">
        <f>IF(ISNUMBER(Datos!R9),Datos!R9," - ")</f>
        <v>6372</v>
      </c>
      <c r="AF9" s="619" t="str">
        <f>IF(ISNUMBER(Datos!BV9),Datos!BV9," - ")</f>
        <v xml:space="preserve"> - </v>
      </c>
      <c r="AG9" s="506" t="str">
        <f>IF(ISNUMBER(Datos!DV9),Datos!DV9," - ")</f>
        <v xml:space="preserve"> - </v>
      </c>
      <c r="AH9" s="507"/>
      <c r="AI9" s="508"/>
      <c r="AJ9" s="506">
        <f>IF(ISNUMBER(Datos!M9),Datos!M9," - ")</f>
        <v>286</v>
      </c>
      <c r="AK9" s="619">
        <f>IF(ISNUMBER(Datos!N9),Datos!N9," - ")</f>
        <v>509</v>
      </c>
      <c r="AL9" s="619" t="str">
        <f>IF(ISNUMBER(Datos!BW9),Datos!BW9," - ")</f>
        <v xml:space="preserve"> - </v>
      </c>
      <c r="AM9" s="667" t="str">
        <f>IF(ISNUMBER(Datos!BX9),Datos!BX9," - ")</f>
        <v xml:space="preserve"> - </v>
      </c>
      <c r="AN9" s="668"/>
      <c r="AO9" s="669">
        <f>IF(ISNUMBER(((NºAsuntos!I9/NºAsuntos!G9)*11)/factor_trimestre),((NºAsuntos!I9/NºAsuntos!G9)*11)/factor_trimestre," - ")</f>
        <v>6.5385714285714291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-1.7273288093769278E-2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170</v>
      </c>
      <c r="G10" s="506">
        <f>IF(ISNUMBER(Datos!I10),Datos!I10," - ")</f>
        <v>170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185</v>
      </c>
      <c r="AB10" s="503"/>
      <c r="AC10" s="503"/>
      <c r="AD10" s="516"/>
      <c r="AE10" s="516">
        <f>IF(ISNUMBER(Datos!R10),Datos!R10," - ")</f>
        <v>78</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52.857142857142861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9.8591549295774641E-2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170</v>
      </c>
      <c r="G13" s="1044">
        <f>SUBTOTAL(9,G8:G12)</f>
        <v>170</v>
      </c>
      <c r="H13" s="1054"/>
      <c r="I13" s="1044">
        <f t="shared" ref="I13:N13" si="0">SUBTOTAL(9,I8:I12)</f>
        <v>0</v>
      </c>
      <c r="J13" s="1013">
        <f t="shared" si="0"/>
        <v>0</v>
      </c>
      <c r="K13" s="1054">
        <f t="shared" si="0"/>
        <v>0</v>
      </c>
      <c r="L13" s="1054">
        <f t="shared" si="0"/>
        <v>0</v>
      </c>
      <c r="M13" s="1054">
        <f t="shared" si="0"/>
        <v>0</v>
      </c>
      <c r="N13" s="1054">
        <f t="shared" si="0"/>
        <v>359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464</v>
      </c>
      <c r="AA13" s="1046">
        <f t="shared" si="2"/>
        <v>185</v>
      </c>
      <c r="AB13" s="1046">
        <f t="shared" si="2"/>
        <v>0</v>
      </c>
      <c r="AC13" s="1046">
        <f t="shared" si="2"/>
        <v>0</v>
      </c>
      <c r="AD13" s="1046">
        <f t="shared" si="2"/>
        <v>0</v>
      </c>
      <c r="AE13" s="1046">
        <f t="shared" si="2"/>
        <v>6450</v>
      </c>
      <c r="AF13" s="1054">
        <f t="shared" si="2"/>
        <v>0</v>
      </c>
      <c r="AG13" s="1054">
        <f t="shared" si="2"/>
        <v>0</v>
      </c>
      <c r="AH13" s="1054">
        <f t="shared" si="2"/>
        <v>0</v>
      </c>
      <c r="AI13" s="1054">
        <f t="shared" si="2"/>
        <v>0</v>
      </c>
      <c r="AJ13" s="1054">
        <f t="shared" si="2"/>
        <v>289</v>
      </c>
      <c r="AK13" s="1054">
        <f t="shared" si="2"/>
        <v>509</v>
      </c>
      <c r="AL13" s="1054">
        <f t="shared" si="2"/>
        <v>0</v>
      </c>
      <c r="AM13" s="1054">
        <f t="shared" si="2"/>
        <v>0</v>
      </c>
      <c r="AN13" s="1054">
        <f t="shared" si="2"/>
        <v>0</v>
      </c>
      <c r="AO13" s="1050">
        <f>IF(ISNUMBER(((NºAsuntos!I13/NºAsuntos!G13)*11)/factor_trimestre),((NºAsuntos!I13/NºAsuntos!G13)*11)/factor_trimestre," - ")</f>
        <v>6.7690120824449176</v>
      </c>
      <c r="AP13" s="1056" t="str">
        <f>IF(ISNUMBER(Datos!CI13/Datos!CJ13),Datos!CI13/Datos!CJ13," - ")</f>
        <v xml:space="preserve"> - </v>
      </c>
      <c r="AQ13" s="1074">
        <f t="shared" ref="AQ13:AV13" si="3">SUBTOTAL(9,AQ9:AQ12)</f>
        <v>0</v>
      </c>
      <c r="AR13" s="1074">
        <f t="shared" si="3"/>
        <v>8.131826120200536E-2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1559</v>
      </c>
      <c r="G15" s="506">
        <f>IF(ISNUMBER(IF(D_I="SI",Datos!I15,Datos!I15+Datos!AC15)),IF(D_I="SI",Datos!I15,Datos!I15+Datos!AC15)," - ")</f>
        <v>1535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28</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1972</v>
      </c>
      <c r="Z15" s="703">
        <f>IF(ISNUMBER(Datos!Q15),Datos!Q15," - ")</f>
        <v>25</v>
      </c>
      <c r="AA15" s="505">
        <f>IF(ISNUMBER(IF(D_I="SI",Datos!L15,Datos!L15+Datos!AF15)),IF(D_I="SI",Datos!L15,Datos!L15+Datos!AF15)," - ")</f>
        <v>1761</v>
      </c>
      <c r="AB15" s="503"/>
      <c r="AC15" s="503"/>
      <c r="AD15" s="516"/>
      <c r="AE15" s="516">
        <f>IF(ISNUMBER(Datos!R15),Datos!R15," - ")</f>
        <v>167</v>
      </c>
      <c r="AF15" s="619" t="str">
        <f>IF(ISNUMBER(Datos!BV15),Datos!BV15," - ")</f>
        <v xml:space="preserve"> - </v>
      </c>
      <c r="AG15" s="506"/>
      <c r="AH15" s="507"/>
      <c r="AI15" s="508"/>
      <c r="AJ15" s="506">
        <f>IF(ISNUMBER(Datos!M15),Datos!M15," - ")</f>
        <v>149</v>
      </c>
      <c r="AK15" s="619">
        <f>IF(ISNUMBER(Datos!N15),Datos!N15," - ")</f>
        <v>1346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1.7860040567951321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363</v>
      </c>
      <c r="Z17" s="703">
        <f>IF(ISNUMBER(Datos!Q17),Datos!Q17," - ")</f>
        <v>6</v>
      </c>
      <c r="AA17" s="505">
        <f>IF(ISNUMBER(Datos!L17),Datos!L17,"-")</f>
        <v>182</v>
      </c>
      <c r="AB17" s="503"/>
      <c r="AC17" s="503"/>
      <c r="AD17" s="516"/>
      <c r="AE17" s="516">
        <f>IF(ISNUMBER(Datos!R17),Datos!R17," - ")</f>
        <v>44</v>
      </c>
      <c r="AF17" s="619" t="str">
        <f>IF(ISNUMBER(Datos!BV17),Datos!BV17," - ")</f>
        <v xml:space="preserve"> - </v>
      </c>
      <c r="AG17" s="506" t="str">
        <f>IF(ISNUMBER(Datos!DV17),Datos!DV17," - ")</f>
        <v xml:space="preserve"> - </v>
      </c>
      <c r="AH17" s="507"/>
      <c r="AI17" s="508"/>
      <c r="AJ17" s="506">
        <f>IF(ISNUMBER(Datos!M17),Datos!M17," - ")</f>
        <v>53</v>
      </c>
      <c r="AK17" s="619">
        <f>IF(ISNUMBER(Datos!N17),Datos!N17," - ")</f>
        <v>257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1.002754820936639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1559</v>
      </c>
      <c r="G18" s="1044">
        <f>SUBTOTAL(9,G15:G17)</f>
        <v>1696</v>
      </c>
      <c r="H18" s="1078">
        <f>SUBTOTAL(9,H15:H17)</f>
        <v>0</v>
      </c>
      <c r="I18" s="1057">
        <f>SUBTOTAL(9,I15:I17)</f>
        <v>0</v>
      </c>
      <c r="J18" s="1013">
        <f>SUBTOTAL(9,J14:J17)</f>
        <v>0</v>
      </c>
      <c r="K18" s="1078">
        <f t="shared" ref="K18:S18" si="4">SUBTOTAL(9,K15:K17)</f>
        <v>0</v>
      </c>
      <c r="L18" s="1078">
        <f t="shared" si="4"/>
        <v>0</v>
      </c>
      <c r="M18" s="1078">
        <f t="shared" si="4"/>
        <v>0</v>
      </c>
      <c r="N18" s="1078">
        <f t="shared" si="4"/>
        <v>38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2335</v>
      </c>
      <c r="Z18" s="1078">
        <f t="shared" si="5"/>
        <v>31</v>
      </c>
      <c r="AA18" s="1078">
        <f t="shared" si="5"/>
        <v>1943</v>
      </c>
      <c r="AB18" s="1078">
        <f t="shared" si="5"/>
        <v>0</v>
      </c>
      <c r="AC18" s="1078">
        <f t="shared" si="5"/>
        <v>0</v>
      </c>
      <c r="AD18" s="1078">
        <f t="shared" si="5"/>
        <v>0</v>
      </c>
      <c r="AE18" s="1078">
        <f t="shared" si="5"/>
        <v>211</v>
      </c>
      <c r="AF18" s="1078">
        <f t="shared" si="5"/>
        <v>0</v>
      </c>
      <c r="AG18" s="1078">
        <f t="shared" si="5"/>
        <v>0</v>
      </c>
      <c r="AH18" s="1078">
        <f t="shared" si="5"/>
        <v>0</v>
      </c>
      <c r="AI18" s="1078">
        <f t="shared" si="5"/>
        <v>0</v>
      </c>
      <c r="AJ18" s="1078">
        <f t="shared" si="5"/>
        <v>202</v>
      </c>
      <c r="AK18" s="1078">
        <f t="shared" si="5"/>
        <v>1603</v>
      </c>
      <c r="AL18" s="1078">
        <f t="shared" si="5"/>
        <v>0</v>
      </c>
      <c r="AM18" s="1078">
        <f t="shared" si="5"/>
        <v>0</v>
      </c>
      <c r="AN18" s="1078">
        <f t="shared" si="5"/>
        <v>0</v>
      </c>
      <c r="AO18" s="1080">
        <f>IF(ISNUMBER(((NºAsuntos!I18/NºAsuntos!G18)*11)/factor_trimestre),((NºAsuntos!I18/NºAsuntos!G18)*11)/factor_trimestre," - ")</f>
        <v>1.6642398286937903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1729</v>
      </c>
      <c r="G19" s="966">
        <f t="shared" si="7"/>
        <v>1866</v>
      </c>
      <c r="H19" s="967">
        <f t="shared" si="7"/>
        <v>0</v>
      </c>
      <c r="I19" s="966">
        <f t="shared" si="7"/>
        <v>0</v>
      </c>
      <c r="J19" s="968">
        <f t="shared" si="7"/>
        <v>0</v>
      </c>
      <c r="K19" s="966">
        <f t="shared" si="7"/>
        <v>0</v>
      </c>
      <c r="L19" s="969">
        <f t="shared" si="7"/>
        <v>0</v>
      </c>
      <c r="M19" s="966">
        <f t="shared" si="7"/>
        <v>0</v>
      </c>
      <c r="N19" s="967">
        <f t="shared" si="7"/>
        <v>397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2342</v>
      </c>
      <c r="Z19" s="973">
        <f t="shared" si="8"/>
        <v>495</v>
      </c>
      <c r="AA19" s="974">
        <f t="shared" si="8"/>
        <v>2128</v>
      </c>
      <c r="AB19" s="974">
        <f t="shared" si="8"/>
        <v>0</v>
      </c>
      <c r="AC19" s="974">
        <f t="shared" si="8"/>
        <v>0</v>
      </c>
      <c r="AD19" s="975">
        <f t="shared" si="8"/>
        <v>0</v>
      </c>
      <c r="AE19" s="975">
        <f t="shared" si="8"/>
        <v>6661</v>
      </c>
      <c r="AF19" s="976">
        <f t="shared" si="8"/>
        <v>0</v>
      </c>
      <c r="AG19" s="977">
        <f t="shared" si="8"/>
        <v>0</v>
      </c>
      <c r="AH19" s="978">
        <f t="shared" si="8"/>
        <v>0</v>
      </c>
      <c r="AI19" s="976">
        <f t="shared" si="8"/>
        <v>0</v>
      </c>
      <c r="AJ19" s="966">
        <f t="shared" si="8"/>
        <v>491</v>
      </c>
      <c r="AK19" s="966">
        <f t="shared" si="8"/>
        <v>2112</v>
      </c>
      <c r="AL19" s="966">
        <f t="shared" si="8"/>
        <v>0</v>
      </c>
      <c r="AM19" s="979">
        <f t="shared" si="8"/>
        <v>0</v>
      </c>
      <c r="AN19" s="969">
        <f>IF(ISNUMBER(Datos!K19/Datos!J19),Datos!K19/Datos!J19," - ")</f>
        <v>0.93116683725690885</v>
      </c>
      <c r="AO19" s="969">
        <f>IF(ISNUMBER(FIND("06",Criterios!A8,1)),(IF(ISNUMBER(((Datos!R19/Datos!Q19)*11)/factor_trimestre),((Datos!R19/Datos!Q19)*11)/factor_trimestre," - ")),(IF(ISNUMBER(((Datos!L19/Datos!K19)*11)/factor_trimestre),((Datos!L19/Datos!K19)*11)/factor_trimestre," - ")))</f>
        <v>3.6218741412475954</v>
      </c>
      <c r="AP19" s="980" t="str">
        <f>IF(ISNUMBER(Datos!CI19/Datos!CJ19),Datos!CI19/Datos!CJ19," - ")</f>
        <v xml:space="preserve"> - </v>
      </c>
      <c r="AQ19" s="980">
        <f>IF(OR(ISNUMBER(FIND("01",Criterios!A8,1)),ISNUMBER(FIND("02",Criterios!A8,1)),ISNUMBER(FIND("03",Criterios!A8,1)),ISNUMBER(FIND("04",Criterios!A8,1))),(J19-Y19+K19)/(F19-K19),(I19-Y19+K19)/(F19-K19))</f>
        <v>-1.3545401966454598</v>
      </c>
      <c r="AR19" s="980">
        <f>IF(ISNUMBER((Datos!P19-Datos!Q19+O19)/(Datos!R19-Datos!P19+Datos!Q19-O19)),(Datos!P19-Datos!Q19+O19)/(Datos!R19-Datos!P19+Datos!Q19-O19)," - ")</f>
        <v>-1.4499186270158308E-2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746.4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801.93952390439017</v>
      </c>
      <c r="G21" s="600">
        <f>IF(ISNUMBER(STDEV(G8:G18)),STDEV(G8:G18),"-")</f>
        <v>795.42397499698234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118.67546783841499</v>
      </c>
      <c r="AK21" s="256"/>
      <c r="AL21" s="256">
        <f>IF(ISNUMBER(STDEV(AL8:AL18)),STDEV(AL8:AL18),"-")</f>
        <v>0</v>
      </c>
      <c r="AM21" s="258">
        <f>IF(ISNUMBER(STDEV(AM8:AM18)),STDEV(AM8:AM18),"-")</f>
        <v>0</v>
      </c>
      <c r="AN21" s="586">
        <f>IF(ISNUMBER(STDEV(AN8:AN18)),STDEV(AN8:AN18),"-")</f>
        <v>0</v>
      </c>
      <c r="AO21" s="587">
        <f>IF(ISNUMBER(STDEV(AO8:AO18)),STDEV(AO8:AO18),"-")</f>
        <v>20.289263982363494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4zHrV2oxcJHWLmuxlOGGZ5q92VrmHNmmyJpVClyOoQy1oTeLibieXlAR356XRy5RoUN/FrWWmFXHbPH/xu2dg==" saltValue="mDRUKxLOyKoAqEKjobgX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Ga9HqHv1rOUa+ILi1gbdUujHq16XXSJlBK7uJ5NyWQpmK6v5KzBhnRabJYwkNpHoTRjCFWyn6OFvaok+/YiZA==" saltValue="Tq5uSsp+pIh8+a39VqGm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l6Tt+WKAk7jh3WTLvdDScQmNwBTN5fNpYv2AgvHcnsJRZdV0LvPNbY8SHQvczfh1WUEkUWWz+IoTR5ZVXgFuw==" saltValue="GZGQB+ogf3Ol+yfVfrER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MANACOR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0.20540156361051884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0.14524083849531788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LBy/1wdLx5IiRyaC5uzyNWCReS++QNeU0m3XHeBgBPSOqj7ZyMDS71fOZ8o+SDu8yukX8J8opJeVCarA7aHDg==" saltValue="m+olURd4qteE4UHmLZp9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8QtzKgOWfTPtDOLsI1pL5DTeet4BH3Kv/yB5kJIjbOzU7MzUFRgQSFiwhZT2zANRLwcMR00nJjyk3ogE1e3XA==" saltValue="WsB2FcamT/loeFW1oROA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MANACOR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4545</v>
      </c>
      <c r="D9" s="415">
        <f>IF(ISNUMBER(C9/Datos!BH9),C9/Datos!BH9," - ")</f>
        <v>909</v>
      </c>
      <c r="E9" s="414">
        <f>IF(ISNUMBER(IF(J_V="SI",Datos!J9,Datos!J9+Datos!Z9)),IF(J_V="SI",Datos!J9,Datos!J9+Datos!Z9)," - ")</f>
        <v>1429</v>
      </c>
      <c r="F9" s="415">
        <f>IF(ISNUMBER(E9/B9),E9/B9," - ")</f>
        <v>285.8</v>
      </c>
      <c r="G9" s="414">
        <f>IF(ISNUMBER(IF(J_V="SI",Datos!K9,Datos!K9+Datos!AA9)),IF(J_V="SI",Datos!K9,Datos!K9+Datos!AA9)," - ")</f>
        <v>1400</v>
      </c>
      <c r="H9" s="415">
        <f>IF(ISNUMBER(G9/B9),G9/B9," - ")</f>
        <v>280</v>
      </c>
      <c r="I9" s="414">
        <f>IF(ISNUMBER(IF(J_V="SI",Datos!L9,Datos!L9+Datos!AB9)),IF(J_V="SI",Datos!L9,Datos!L9+Datos!AB9)," - ")</f>
        <v>4577</v>
      </c>
      <c r="J9" s="415">
        <f>IF(ISNUMBER(I9/B9),I9/B9," - ")</f>
        <v>915.4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170</v>
      </c>
      <c r="D10" s="415">
        <f>IF(ISNUMBER(C10/Datos!BH10),C10/Datos!BH10," - ")</f>
        <v>170</v>
      </c>
      <c r="E10" s="414">
        <f>IF(ISNUMBER(Datos!J10),Datos!J10," - ")</f>
        <v>22</v>
      </c>
      <c r="F10" s="415">
        <f>IF(ISNUMBER(E10/B10),E10/B10," - ")</f>
        <v>22</v>
      </c>
      <c r="G10" s="414">
        <f>IF(ISNUMBER(Datos!K10),Datos!K10," - ")</f>
        <v>7</v>
      </c>
      <c r="H10" s="415">
        <f>IF(ISNUMBER(G10/B10),G10/B10," - ")</f>
        <v>7</v>
      </c>
      <c r="I10" s="414">
        <f>IF(ISNUMBER(Datos!L10),Datos!L10," - ")</f>
        <v>185</v>
      </c>
      <c r="J10" s="415">
        <f>IF(ISNUMBER(I10/B10),I10/B10," - ")</f>
        <v>185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4715</v>
      </c>
      <c r="D13" s="996" t="str">
        <f>IF(ISNUMBER(C13/Datos!BI13),C13/Datos!BI13," - ")</f>
        <v xml:space="preserve"> - </v>
      </c>
      <c r="E13" s="995">
        <f>SUBTOTAL(9,E8:E12)</f>
        <v>1451</v>
      </c>
      <c r="F13" s="996">
        <f>IF(ISNUMBER(E13/B13),E13/B13," - ")</f>
        <v>290.2</v>
      </c>
      <c r="G13" s="995">
        <f>SUBTOTAL(9,G8:G12)</f>
        <v>1407</v>
      </c>
      <c r="H13" s="996">
        <f>IF(ISNUMBER(G13/B13),G13/B13," - ")</f>
        <v>281.39999999999998</v>
      </c>
      <c r="I13" s="995">
        <f>SUBTOTAL(9,I8:I12)</f>
        <v>4762</v>
      </c>
      <c r="J13" s="996">
        <f>IF(ISNUMBER(I13/B13),I13/B13," - ")</f>
        <v>952.4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1535</v>
      </c>
      <c r="D15" s="415">
        <f>IF(ISNUMBER(C15/Datos!BH15),C15/Datos!BH15," - ")</f>
        <v>511.66666666666669</v>
      </c>
      <c r="E15" s="414">
        <f>IF(ISNUMBER(IF(D_I="SI",Datos!J15,Datos!J15+Datos!AD15)),IF(D_I="SI",Datos!J15,Datos!J15+Datos!AD15)," - ")</f>
        <v>2174</v>
      </c>
      <c r="F15" s="415">
        <f>IF(ISNUMBER(E15/B15),E15/B15," - ")</f>
        <v>724.66666666666663</v>
      </c>
      <c r="G15" s="414">
        <f>IF(ISNUMBER(IF(D_I="SI",Datos!K15,Datos!K15+Datos!AE15)),IF(D_I="SI",Datos!K15,Datos!K15+Datos!AE15)," - ")</f>
        <v>1972</v>
      </c>
      <c r="H15" s="415">
        <f>IF(ISNUMBER(G15/B15),G15/B15," - ")</f>
        <v>657.33333333333337</v>
      </c>
      <c r="I15" s="414">
        <f>IF(ISNUMBER(IF(D_I="SI",Datos!L15,Datos!L15+Datos!AF15)),IF(D_I="SI",Datos!L15,Datos!L15+Datos!AF15)," - ")</f>
        <v>1761</v>
      </c>
      <c r="J15" s="415">
        <f>IF(ISNUMBER(I15/B15),I15/B15," - ")</f>
        <v>587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161</v>
      </c>
      <c r="D17" s="415">
        <f>IF(ISNUMBER(C17/Datos!BH17),C17/Datos!BH17," - ")</f>
        <v>161</v>
      </c>
      <c r="E17" s="414">
        <f>IF(ISNUMBER(IF(D_I="SI",Datos!J17,Datos!J17+Datos!AD17)),IF(D_I="SI",Datos!J17,Datos!J17+Datos!AD17)," - ")</f>
        <v>384</v>
      </c>
      <c r="F17" s="415">
        <f>IF(ISNUMBER(E17/B17),E17/B17," - ")</f>
        <v>384</v>
      </c>
      <c r="G17" s="414">
        <f>IF(ISNUMBER(IF(D_I="SI",Datos!K17,Datos!K17+Datos!AE17)),IF(D_I="SI",Datos!K17,Datos!K17+Datos!AE17)," - ")</f>
        <v>363</v>
      </c>
      <c r="H17" s="415">
        <f>IF(ISNUMBER(G17/B17),G17/B17," - ")</f>
        <v>363</v>
      </c>
      <c r="I17" s="414">
        <f>IF(ISNUMBER(IF(D_I="SI",Datos!L17,Datos!L17+Datos!AF17)),IF(D_I="SI",Datos!L17,Datos!L17+Datos!AF17)," - ")</f>
        <v>182</v>
      </c>
      <c r="J17" s="415">
        <f>IF(ISNUMBER(I17/B17),I17/B17," - ")</f>
        <v>182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1696</v>
      </c>
      <c r="D18" s="996" t="str">
        <f>IF(ISNUMBER(C18/Datos!BI18),C18/Datos!BI18," - ")</f>
        <v xml:space="preserve"> - </v>
      </c>
      <c r="E18" s="995">
        <f>SUBTOTAL(9,E14:E17)</f>
        <v>2558</v>
      </c>
      <c r="F18" s="996">
        <f>IF(ISNUMBER(E18/B18),E18/B18," - ")</f>
        <v>852.66666666666663</v>
      </c>
      <c r="G18" s="995">
        <f>SUBTOTAL(9,G14:G17)</f>
        <v>2335</v>
      </c>
      <c r="H18" s="996">
        <f>IF(ISNUMBER(G18/B18),G18/B18," - ")</f>
        <v>778.33333333333337</v>
      </c>
      <c r="I18" s="995">
        <f>SUBTOTAL(9,I14:I17)</f>
        <v>1943</v>
      </c>
      <c r="J18" s="996">
        <f>IF(ISNUMBER(I18/B18),I18/B18," - ")</f>
        <v>647.66666666666663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6411</v>
      </c>
      <c r="D19" s="941" t="str">
        <f>IF(ISNUMBER(C19/Datos!BI19),C19/Datos!BI19," - ")</f>
        <v xml:space="preserve"> - </v>
      </c>
      <c r="E19" s="940">
        <f>SUBTOTAL(9,E9:E18)</f>
        <v>4009</v>
      </c>
      <c r="F19" s="941">
        <f>IF(ISNUMBER(E19/B19),E19/B19," - ")</f>
        <v>501.125</v>
      </c>
      <c r="G19" s="940">
        <f>SUBTOTAL(9,G9:G18)</f>
        <v>3742</v>
      </c>
      <c r="H19" s="941">
        <f>IF(ISNUMBER(G19/B19),G19/B19," - ")</f>
        <v>467.75</v>
      </c>
      <c r="I19" s="940">
        <f>SUBTOTAL(9,I9:I18)</f>
        <v>6705</v>
      </c>
      <c r="J19" s="941">
        <f>IF(ISNUMBER(I19/B19),I19/B19," - ")</f>
        <v>838.125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Fbyk4ijo5BFY2o0dtEL5O7ZNv9/U8WCQ54mz1lAQqJy53JuljmV47ncip/H4dBQtteyUZGOtQcRoj/dENf2w==" saltValue="ZM10R6Zjwa08M0AauSxp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MANACOR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170</v>
      </c>
      <c r="G10" s="802">
        <f>IF(ISNUMBER(Datos!I10),Datos!I10," - ")</f>
        <v>170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185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52.857142857142861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170</v>
      </c>
      <c r="G13" s="1084">
        <f t="shared" si="0"/>
        <v>170</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0</v>
      </c>
      <c r="AE13" s="1085">
        <f t="shared" si="1"/>
        <v>0</v>
      </c>
      <c r="AF13" s="1085">
        <f t="shared" si="1"/>
        <v>185</v>
      </c>
      <c r="AG13" s="1085">
        <f t="shared" si="1"/>
        <v>0</v>
      </c>
      <c r="AH13" s="1085">
        <f t="shared" si="1"/>
        <v>0</v>
      </c>
      <c r="AI13" s="1085">
        <f t="shared" si="1"/>
        <v>0</v>
      </c>
      <c r="AJ13" s="1085">
        <f t="shared" si="1"/>
        <v>0</v>
      </c>
      <c r="AK13" s="1085">
        <f t="shared" si="1"/>
        <v>0</v>
      </c>
      <c r="AL13" s="1085">
        <f t="shared" si="1"/>
        <v>3</v>
      </c>
      <c r="AM13" s="1085">
        <f t="shared" si="1"/>
        <v>0</v>
      </c>
      <c r="AN13" s="1085">
        <f t="shared" si="1"/>
        <v>0</v>
      </c>
      <c r="AO13" s="1085">
        <f t="shared" si="1"/>
        <v>0</v>
      </c>
      <c r="AP13" s="1090">
        <f>IF(ISNUMBER(((Datos!L13/Datos!K13)*11)/factor_trimestre),((Datos!L13/Datos!K13)*11)/factor_trimestre," - ")</f>
        <v>7.1273006134969314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-4.1176470588235294E-2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1.6642398286937903</v>
      </c>
      <c r="AQ18" s="1090">
        <f>IF(ISNUMBER(((Datos!M18/Datos!L18)*11)/factor_trimestre),((Datos!M18/Datos!L18)*11)/factor_trimestre," - ")</f>
        <v>0.20792588780236751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3.4313725490196081E-2</v>
      </c>
      <c r="AW18" s="1092">
        <f>IF(ISNUMBER((Datos!Q18-Datos!R18)/(Datos!S18-Datos!Q18+Datos!R18)),(Datos!Q18-Datos!R18)/(Datos!S18-Datos!Q18+Datos!R18)," - ")</f>
        <v>-9.6774193548387094E-2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170</v>
      </c>
      <c r="G19" s="1097">
        <f t="shared" si="4"/>
        <v>170</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0</v>
      </c>
      <c r="AE19" s="1103">
        <f t="shared" si="5"/>
        <v>0</v>
      </c>
      <c r="AF19" s="1104">
        <f t="shared" si="5"/>
        <v>185</v>
      </c>
      <c r="AG19" s="1104">
        <f t="shared" si="5"/>
        <v>0</v>
      </c>
      <c r="AH19" s="1104">
        <f t="shared" si="5"/>
        <v>0</v>
      </c>
      <c r="AI19" s="1104">
        <f t="shared" si="5"/>
        <v>0</v>
      </c>
      <c r="AJ19" s="1105">
        <f t="shared" si="5"/>
        <v>0</v>
      </c>
      <c r="AK19" s="1105">
        <f t="shared" si="5"/>
        <v>0</v>
      </c>
      <c r="AL19" s="1097">
        <f t="shared" si="5"/>
        <v>3</v>
      </c>
      <c r="AM19" s="1097">
        <f t="shared" si="5"/>
        <v>0</v>
      </c>
      <c r="AN19" s="1097">
        <f t="shared" si="5"/>
        <v>0</v>
      </c>
      <c r="AO19" s="1097">
        <f t="shared" si="5"/>
        <v>0</v>
      </c>
      <c r="AP19" s="1097">
        <f>IF(ISNUMBER(((Datos!L19/Datos!K19)*11)/factor_trimestre),((Datos!L19/Datos!K19)*11)/factor_trimestre," - ")</f>
        <v>3.6218741412475954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-4.1176470588235294E-2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-1.4499186270158308E-2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98.149545762236372</v>
      </c>
      <c r="G21" s="870">
        <f>IF(ISNUMBER(STDEV(G8:G18)),STDEV(G8:G18),"-")</f>
        <v>98.149545762236372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1.7320508075688772</v>
      </c>
      <c r="AM21" s="869"/>
      <c r="AN21" s="869">
        <f>IF(ISNUMBER(STDEV(AN8:AN18)),STDEV(AN8:AN18),"-")</f>
        <v>0</v>
      </c>
      <c r="AO21" s="875">
        <f>IF(ISNUMBER(STDEV(AO8:AO18)),STDEV(AO8:AO18),"-")</f>
        <v>0</v>
      </c>
      <c r="AP21" s="922">
        <f>IF(ISNUMBER(STDEV(AP8:AP18)),STDEV(AP8:AP18),"-")</f>
        <v>28.112206201954898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cgkF2O5VjskvLkb+2DkQhxmX4CskuiyZLsytkc3TaULLewfOxqxk1nZRYcedMHsL7csU+a1x7uEyKvdwN+y4g==" saltValue="Ogu53xVOAGmIju91HzMh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MANACOR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QYzaG2k5bwM1pzNyfkyWz1jS9eDJX6ekbHrL7a0xVrhRCGJxCByN7mzJ4H43RZqlVPy6tFbXfPKfttV5pI8LA==" saltValue="Gjke9SltZgKEYdI8XbnZ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MANACOR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286</v>
      </c>
      <c r="E9" s="415">
        <f t="shared" ref="E9:E13" si="0">IF(ISNUMBER(D9/B9),D9/B9," - ")</f>
        <v>57.2</v>
      </c>
      <c r="F9" s="414">
        <f>IF(ISNUMBER(Datos!N9),Datos!N9," - ")</f>
        <v>509</v>
      </c>
      <c r="G9" s="415">
        <f t="shared" ref="G9:G13" si="1">IF(ISNUMBER(F9/B9),F9/B9," - ")</f>
        <v>101.8</v>
      </c>
      <c r="H9" s="414">
        <f>IF(ISNUMBER(Datos!O9),Datos!O9," - ")</f>
        <v>552</v>
      </c>
      <c r="I9" s="415">
        <f>IF(ISNUMBER(H9/B9),H9/B9," - ")</f>
        <v>110.4</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289</v>
      </c>
      <c r="E13" s="996">
        <f t="shared" si="0"/>
        <v>48.166666666666664</v>
      </c>
      <c r="F13" s="995">
        <f>SUBTOTAL(9,F9:F12)</f>
        <v>509</v>
      </c>
      <c r="G13" s="996">
        <f t="shared" si="1"/>
        <v>84.833333333333329</v>
      </c>
      <c r="H13" s="995">
        <f>SUBTOTAL(9,H9:H12)</f>
        <v>555</v>
      </c>
      <c r="I13" s="996">
        <f>IF(ISNUMBER(H13/B13),H13/B13," - ")</f>
        <v>92.5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149</v>
      </c>
      <c r="E15" s="415">
        <f t="shared" ref="E15:E18" si="3">IF(ISNUMBER(D15/B15),D15/B15," - ")</f>
        <v>49.666666666666664</v>
      </c>
      <c r="F15" s="414">
        <f>IF(ISNUMBER(Datos!N15),Datos!N15," - ")</f>
        <v>1346</v>
      </c>
      <c r="G15" s="415">
        <f t="shared" ref="G15:G18" si="4">IF(ISNUMBER(F15/B15),F15/B15," - ")</f>
        <v>448.66666666666669</v>
      </c>
      <c r="H15" s="414">
        <f>IF(ISNUMBER(Datos!O15),Datos!O15," - ")</f>
        <v>18</v>
      </c>
      <c r="I15" s="415">
        <f t="shared" ref="I15:I17" si="5">IF(ISNUMBER(H15/B15),H15/B15," - ")</f>
        <v>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53</v>
      </c>
      <c r="E17" s="415">
        <f>IF(ISNUMBER(D17/B17),D17/B17," - ")</f>
        <v>53</v>
      </c>
      <c r="F17" s="414">
        <f>IF(ISNUMBER(Datos!N17),Datos!N17," - ")</f>
        <v>257</v>
      </c>
      <c r="G17" s="415">
        <f>IF(ISNUMBER(F17/B17),F17/B17," - ")</f>
        <v>257</v>
      </c>
      <c r="H17" s="414">
        <f>IF(ISNUMBER(Datos!O17),Datos!O17," - ")</f>
        <v>0</v>
      </c>
      <c r="I17" s="415">
        <f t="shared" si="5"/>
        <v>0</v>
      </c>
    </row>
    <row r="18" spans="1:9" ht="14.25" thickTop="1" thickBot="1">
      <c r="A18" s="994" t="str">
        <f>Datos!A18</f>
        <v>TOTAL</v>
      </c>
      <c r="B18" s="995">
        <f>Datos!AO18</f>
        <v>4</v>
      </c>
      <c r="C18" s="997">
        <f>Datos!AR18</f>
        <v>3</v>
      </c>
      <c r="D18" s="995">
        <f>SUBTOTAL(9,D15:D17)</f>
        <v>202</v>
      </c>
      <c r="E18" s="996">
        <f t="shared" si="3"/>
        <v>50.5</v>
      </c>
      <c r="F18" s="995">
        <f>SUBTOTAL(9,F15:F17)</f>
        <v>1603</v>
      </c>
      <c r="G18" s="996">
        <f t="shared" si="4"/>
        <v>400.75</v>
      </c>
      <c r="H18" s="995">
        <f>SUBTOTAL(9,H15:H17)</f>
        <v>18</v>
      </c>
      <c r="I18" s="996">
        <f>IF(ISNUMBER(H18/B18),H18/B18," - ")</f>
        <v>4.5</v>
      </c>
    </row>
    <row r="19" spans="1:9" ht="14.25" thickTop="1" thickBot="1">
      <c r="A19" s="939" t="str">
        <f>Datos!A19</f>
        <v>TOTAL JURISDICCIONES</v>
      </c>
      <c r="B19" s="940">
        <f>Datos!AP19</f>
        <v>8</v>
      </c>
      <c r="C19" s="940">
        <f>Datos!AR19</f>
        <v>8</v>
      </c>
      <c r="D19" s="940">
        <f>SUBTOTAL(9,D8:D18)</f>
        <v>491</v>
      </c>
      <c r="E19" s="941">
        <f>IF(ISNUMBER(D19/B19),D19/B19," - ")</f>
        <v>61.375</v>
      </c>
      <c r="F19" s="940">
        <f>SUBTOTAL(9,F8:F18)</f>
        <v>2112</v>
      </c>
      <c r="G19" s="941">
        <f>IF(ISNUMBER(F19/B19),F19/B19," - ")</f>
        <v>264</v>
      </c>
      <c r="H19" s="940">
        <f>SUBTOTAL(9,H8:H18)</f>
        <v>573</v>
      </c>
      <c r="I19" s="941">
        <f>IF(ISNUMBER(H19/B19),H19/B19," - ")</f>
        <v>71.625</v>
      </c>
    </row>
    <row r="22" spans="1:9">
      <c r="A22" s="402" t="str">
        <f>Criterios!A4</f>
        <v>Fecha Informe: 29 nov. 2023</v>
      </c>
    </row>
    <row r="27" spans="1:9">
      <c r="A27" s="425"/>
    </row>
  </sheetData>
  <sheetProtection algorithmName="SHA-512" hashValue="ilHqgXIEVznYrhVQ1wvt7Su6pnUspK50z7K/OYKuqXxsqd+cm0S1cxG+MZyM99p2gK9q42zokt3lulL0XpmkCQ==" saltValue="Ne7tmKrSj+4kBSR0oKRl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MANACOR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352</v>
      </c>
      <c r="C9" s="450">
        <f>IF(ISNUMBER(Datos!Q9),Datos!Q9," - ")</f>
        <v>464</v>
      </c>
      <c r="D9" s="419">
        <f>IF(ISNUMBER(Datos!R9),Datos!R9," - ")</f>
        <v>6372</v>
      </c>
    </row>
    <row r="10" spans="1:4">
      <c r="A10" s="413" t="str">
        <f>Datos!A10</f>
        <v>Jdos. Violencia contra la mujer</v>
      </c>
      <c r="B10" s="449">
        <f>IF(ISNUMBER(Datos!P10),Datos!P10," - ")</f>
        <v>7</v>
      </c>
      <c r="C10" s="450">
        <f>IF(ISNUMBER(Datos!Q10),Datos!Q10," - ")</f>
        <v>0</v>
      </c>
      <c r="D10" s="419">
        <f>IF(ISNUMBER(Datos!R10),Datos!R10," - ")</f>
        <v>78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359</v>
      </c>
      <c r="C13" s="999">
        <f>SUBTOTAL(9,C9:C12)</f>
        <v>464</v>
      </c>
      <c r="D13" s="997">
        <f>SUBTOTAL(9,D9:D12)</f>
        <v>6450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28</v>
      </c>
      <c r="C15" s="450">
        <f>IF(ISNUMBER(Datos!Q15),Datos!Q15," - ")</f>
        <v>25</v>
      </c>
      <c r="D15" s="419">
        <f>IF(ISNUMBER(Datos!R15),Datos!R15," - ")</f>
        <v>167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10</v>
      </c>
      <c r="C17" s="450">
        <f>IF(ISNUMBER(Datos!Q17),Datos!Q17," - ")</f>
        <v>6</v>
      </c>
      <c r="D17" s="419">
        <f>IF(ISNUMBER(Datos!R17),Datos!R17," - ")</f>
        <v>44</v>
      </c>
    </row>
    <row r="18" spans="1:4" ht="14.25" thickTop="1" thickBot="1">
      <c r="A18" s="994" t="str">
        <f>Datos!A18</f>
        <v>TOTAL</v>
      </c>
      <c r="B18" s="995">
        <f>SUBTOTAL(9,B15:B17)</f>
        <v>38</v>
      </c>
      <c r="C18" s="999">
        <f>SUBTOTAL(9,C15:C17)</f>
        <v>31</v>
      </c>
      <c r="D18" s="997">
        <f>SUBTOTAL(9,D15:D17)</f>
        <v>211</v>
      </c>
    </row>
    <row r="19" spans="1:4" ht="16.5" customHeight="1" thickTop="1" thickBot="1">
      <c r="A19" s="939" t="str">
        <f>Datos!A19</f>
        <v>TOTAL JURISDICCIONES</v>
      </c>
      <c r="B19" s="944">
        <f>SUBTOTAL(9,B8:B18)</f>
        <v>397</v>
      </c>
      <c r="C19" s="945">
        <f>SUBTOTAL(9,C8:C18)</f>
        <v>495</v>
      </c>
      <c r="D19" s="946">
        <f>SUBTOTAL(9,D8:D18)</f>
        <v>6661</v>
      </c>
    </row>
    <row r="20" spans="1:4" ht="7.5" customHeight="1"/>
    <row r="21" spans="1:4" ht="6" customHeight="1"/>
    <row r="22" spans="1:4">
      <c r="A22" s="402" t="str">
        <f>Criterios!A4</f>
        <v>Fecha Informe: 29 nov. 2023</v>
      </c>
    </row>
    <row r="27" spans="1:4">
      <c r="A27" s="425"/>
    </row>
  </sheetData>
  <sheetProtection algorithmName="SHA-512" hashValue="boUXDctcFFLd64CPi5QsSHgF5a0dLGO3xRCDZ7R68L/73MMdysXo5+XmolrtuBXb/I2k5LzVI2MmW3sWlC0idQ==" saltValue="/uVEj0ilD4Gj0rbZA93Y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MANACOR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0.38990825688073394</v>
      </c>
      <c r="C9" s="472">
        <f>IF(ISNUMBER(
   IF(J_V="SI",(Datos!J9-Datos!T9)/Datos!T9,(Datos!J9+Datos!Z9-(Datos!T9+Datos!AH9))/(Datos!T9+Datos!AH9))
     ),IF(J_V="SI",(Datos!J9-Datos!T9)/Datos!T9,(Datos!J9+Datos!Z9-(Datos!T9+Datos!AH9))/(Datos!T9+Datos!AH9))," - ")</f>
        <v>9.3343534812547813E-2</v>
      </c>
      <c r="D9" s="472">
        <f>IF(ISNUMBER(
   IF(J_V="SI",(Datos!K9-Datos!U9)/Datos!U9,(Datos!K9+Datos!AA9-(Datos!U9+Datos!AI9))/(Datos!U9+Datos!AI9))
     ),IF(J_V="SI",(Datos!K9-Datos!U9)/Datos!U9,(Datos!K9+Datos!AA9-(Datos!U9+Datos!AI9))/(Datos!U9+Datos!AI9))," - ")</f>
        <v>0.38339920948616601</v>
      </c>
      <c r="E9" s="472">
        <f>IF(ISNUMBER(
   IF(J_V="SI",(Datos!L9-Datos!V9)/Datos!V9,(Datos!L9+Datos!AB9-(Datos!V9+Datos!AJ9))/(Datos!V9+Datos!AJ9))
     ),IF(J_V="SI",(Datos!L9-Datos!V9)/Datos!V9,(Datos!L9+Datos!AB9-(Datos!V9+Datos!AJ9))/(Datos!V9+Datos!AJ9))," - ")</f>
        <v>0.28387096774193549</v>
      </c>
      <c r="F9" s="472">
        <f>IF(ISNUMBER((Datos!M9-Datos!W9)/Datos!W9),(Datos!M9-Datos!W9)/Datos!W9," - ")</f>
        <v>0.18181818181818182</v>
      </c>
      <c r="G9" s="473">
        <f>IF(ISNUMBER((Datos!N9-Datos!X9)/Datos!X9),(Datos!N9-Datos!X9)/Datos!X9," - ")</f>
        <v>0.28535353535353536</v>
      </c>
      <c r="H9" s="471">
        <f>IF(ISNUMBER(((NºAsuntos!G9/NºAsuntos!E9)-Datos!BD9)/Datos!BD9),((NºAsuntos!G9/NºAsuntos!E9)-Datos!BD9)/Datos!BD9," - ")</f>
        <v>0.26529234905417703</v>
      </c>
      <c r="I9" s="472">
        <f>IF(ISNUMBER(((NºAsuntos!I9/NºAsuntos!G9)-Datos!BE9)/Datos!BE9),((NºAsuntos!I9/NºAsuntos!G9)-Datos!BE9)/Datos!BE9," - ")</f>
        <v>-7.1944700460829597E-2</v>
      </c>
      <c r="J9" s="477">
        <f>IF(ISNUMBER((('Resol  Asuntos'!D9/NºAsuntos!G9)-Datos!BF9)/Datos!BF9),(('Resol  Asuntos'!D9/NºAsuntos!G9)-Datos!BF9)/Datos!BF9," - ")</f>
        <v>-0.47793650793650794</v>
      </c>
      <c r="K9" s="478">
        <f>IF(ISNUMBER((((NºAsuntos!C9+NºAsuntos!E9)/NºAsuntos!G9)-Datos!BG9)/Datos!BG9),(((NºAsuntos!C9+NºAsuntos!E9)/NºAsuntos!G9)-Datos!BG9)/Datos!BG9," - ")</f>
        <v>-5.6511127063890887E-2</v>
      </c>
    </row>
    <row r="10" spans="1:11">
      <c r="A10" s="413" t="str">
        <f>Datos!A10</f>
        <v>Jdos. Violencia contra la mujer</v>
      </c>
      <c r="B10" s="471">
        <f>IF(ISNUMBER((Datos!I10-Datos!S10)/Datos!S10),(Datos!I10-Datos!S10)/Datos!S10," - ")</f>
        <v>0.29770992366412213</v>
      </c>
      <c r="C10" s="472">
        <f>IF(ISNUMBER((Datos!J10-Datos!T10)/Datos!T10),(Datos!J10-Datos!T10)/Datos!T10," - ")</f>
        <v>0.83333333333333337</v>
      </c>
      <c r="D10" s="472">
        <f>IF(ISNUMBER((Datos!K10-Datos!U10)/Datos!U10),(Datos!K10-Datos!U10)/Datos!U10," - ")</f>
        <v>-0.65</v>
      </c>
      <c r="E10" s="472">
        <f>IF(ISNUMBER((Datos!L10-Datos!V10)/Datos!V10),(Datos!L10-Datos!V10)/Datos!V10," - ")</f>
        <v>0.50406504065040647</v>
      </c>
      <c r="F10" s="472">
        <f>IF(ISNUMBER((Datos!M10-Datos!W10)/Datos!W10),(Datos!M10-Datos!W10)/Datos!W10," - ")</f>
        <v>-0.7</v>
      </c>
      <c r="G10" s="473">
        <f>IF(ISNUMBER((Datos!N10-Datos!X10)/Datos!X10),(Datos!N10-Datos!X10)/Datos!X10," - ")</f>
        <v>-1</v>
      </c>
      <c r="H10" s="471">
        <f>IF(ISNUMBER(((NºAsuntos!G10/NºAsuntos!E10)-Datos!BD10)/Datos!BD10),((NºAsuntos!G10/NºAsuntos!E10)-Datos!BD10)/Datos!BD10," - ")</f>
        <v>-0.80909090909090908</v>
      </c>
      <c r="I10" s="472">
        <f>IF(ISNUMBER(((NºAsuntos!I10/NºAsuntos!G10)-Datos!BE10)/Datos!BE10),((NºAsuntos!I10/NºAsuntos!G10)-Datos!BE10)/Datos!BE10," - ")</f>
        <v>3.2973286875725893</v>
      </c>
      <c r="J10" s="477">
        <f>IF(ISNUMBER((('Resol  Asuntos'!D10/NºAsuntos!G10)-Datos!BF10)/Datos!BF10),(('Resol  Asuntos'!D10/NºAsuntos!G10)-Datos!BF10)/Datos!BF10," - ")</f>
        <v>-0.1428571428571429</v>
      </c>
      <c r="K10" s="478">
        <f>IF(ISNUMBER((((NºAsuntos!C10+NºAsuntos!E10)/NºAsuntos!G10)-Datos!BG10)/Datos!BG10),(((NºAsuntos!C10+NºAsuntos!E10)/NºAsuntos!G10)-Datos!BG10)/Datos!BG10," - ")</f>
        <v>2.8361638361638355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0.38635695383710672</v>
      </c>
      <c r="C13" s="1001">
        <f>IF(ISNUMBER(
   IF(J_V="SI",(Datos!J13-Datos!T13)/Datos!T13,(Datos!J13+Datos!Z13-(Datos!T13+Datos!AH13))/(Datos!T13+Datos!AH13))
     ),IF(J_V="SI",(Datos!J13-Datos!T13)/Datos!T13,(Datos!J13+Datos!Z13-(Datos!T13+Datos!AH13))/(Datos!T13+Datos!AH13))," - ")</f>
        <v>0.10007581501137225</v>
      </c>
      <c r="D13" s="1001">
        <f>IF(ISNUMBER(
   IF(J_V="SI",(Datos!K13-Datos!U13)/Datos!U13,(Datos!K13+Datos!AA13-(Datos!U13+Datos!AI13))/(Datos!U13+Datos!AI13))
     ),IF(J_V="SI",(Datos!K13-Datos!U13)/Datos!U13,(Datos!K13+Datos!AA13-(Datos!U13+Datos!AI13))/(Datos!U13+Datos!AI13))," - ")</f>
        <v>0.36337209302325579</v>
      </c>
      <c r="E13" s="1001">
        <f>IF(ISNUMBER(
   IF(J_V="SI",(Datos!L13-Datos!V13)/Datos!V13,(Datos!L13+Datos!AB13-(Datos!V13+Datos!AJ13))/(Datos!V13+Datos!AJ13))
     ),IF(J_V="SI",(Datos!L13-Datos!V13)/Datos!V13,(Datos!L13+Datos!AB13-(Datos!V13+Datos!AJ13))/(Datos!V13+Datos!AJ13))," - ")</f>
        <v>0.29121475054229934</v>
      </c>
      <c r="F13" s="1002">
        <f>IF(ISNUMBER((Datos!M13-Datos!W13)/Datos!W13),(Datos!M13-Datos!W13)/Datos!W13," - ")</f>
        <v>0.14682539682539683</v>
      </c>
      <c r="G13" s="1003">
        <f>IF(ISNUMBER((Datos!N13-Datos!X13)/Datos!X13),(Datos!N13-Datos!X13)/Datos!X13," - ")</f>
        <v>0.26932668329177056</v>
      </c>
      <c r="H13" s="1003">
        <f>IF(ISNUMBER(((NºAsuntos!G13/NºAsuntos!E13)-Datos!BD13)/Datos!BD13),((NºAsuntos!G13/NºAsuntos!E13)-Datos!BD13)/Datos!BD13," - ")</f>
        <v>0.23934375651114712</v>
      </c>
      <c r="I13" s="1003">
        <f>IF(ISNUMBER(((NºAsuntos!I13/NºAsuntos!G13)-Datos!BE13)/Datos!BE13),((NºAsuntos!I13/NºAsuntos!G13)-Datos!BE13)/Datos!BE13," - ")</f>
        <v>-5.2925641393281507E-2</v>
      </c>
      <c r="J13" s="1003">
        <f>IF(ISNUMBER((('Resol  Asuntos'!D13/NºAsuntos!G13)-Datos!BF13)/Datos!BF13),(('Resol  Asuntos'!D13/NºAsuntos!G13)-Datos!BF13)/Datos!BF13," - ")</f>
        <v>-0.47789553289148901</v>
      </c>
      <c r="K13" s="1003">
        <f>IF(ISNUMBER((((NºAsuntos!C13+NºAsuntos!E13)/NºAsuntos!G13)-Datos!BG13)/Datos!BG13),(((NºAsuntos!C13+NºAsuntos!E13)/NºAsuntos!G13)-Datos!BG13)/Datos!BG13," - ")</f>
        <v>-4.1819955910520082E-2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0.10431654676258993</v>
      </c>
      <c r="C15" s="472">
        <f>IF(ISNUMBER(
   IF(D_I="SI",(Datos!J15-Datos!T15)/Datos!T15,(Datos!J15+Datos!AD15-(Datos!T15+Datos!AL15))/(Datos!T15+Datos!AL15))
     ),IF(D_I="SI",(Datos!J15-Datos!T15)/Datos!T15,(Datos!J15+Datos!AD15-(Datos!T15+Datos!AL15))/(Datos!T15+Datos!AL15))," - ")</f>
        <v>0.11601642710472279</v>
      </c>
      <c r="D15" s="472">
        <f>IF(ISNUMBER(
   IF(D_I="SI",(Datos!K15-Datos!U15)/Datos!U15,(Datos!K15+Datos!AE15-(Datos!U15+Datos!AM15))/(Datos!U15+Datos!AM15))
     ),IF(D_I="SI",(Datos!K15-Datos!U15)/Datos!U15,(Datos!K15+Datos!AE15-(Datos!U15+Datos!AM15))/(Datos!U15+Datos!AM15))," - ")</f>
        <v>0</v>
      </c>
      <c r="E15" s="472">
        <f>IF(ISNUMBER(
   IF(D_I="SI",(Datos!L15-Datos!V15)/Datos!V15,(Datos!L15+Datos!AF15-(Datos!V15+Datos!AN15))/(Datos!V15+Datos!AN15))
     ),IF(D_I="SI",(Datos!L15-Datos!V15)/Datos!V15,(Datos!L15+Datos!AF15-(Datos!V15+Datos!AN15))/(Datos!V15+Datos!AN15))," - ")</f>
        <v>0.28916544655929721</v>
      </c>
      <c r="F15" s="472">
        <f>IF(ISNUMBER((Datos!M15-Datos!W15)/Datos!W15),(Datos!M15-Datos!W15)/Datos!W15," - ")</f>
        <v>-0.23589743589743589</v>
      </c>
      <c r="G15" s="473">
        <f>IF(ISNUMBER((Datos!N15-Datos!X15)/Datos!X15),(Datos!N15-Datos!X15)/Datos!X15," - ")</f>
        <v>-4.5390070921985819E-2</v>
      </c>
      <c r="H15" s="471">
        <f>IF(ISNUMBER(((NºAsuntos!G15/NºAsuntos!E15)-Datos!BD15)/Datos!BD15),((NºAsuntos!G15/NºAsuntos!E15)-Datos!BD15)/Datos!BD15," - ")</f>
        <v>-0.10395584176632944</v>
      </c>
      <c r="I15" s="472">
        <f>IF(ISNUMBER(((NºAsuntos!I15/NºAsuntos!G15)-Datos!BE15)/Datos!BE15),((NºAsuntos!I15/NºAsuntos!G15)-Datos!BE15)/Datos!BE15," - ")</f>
        <v>0.28916544655929716</v>
      </c>
      <c r="J15" s="477">
        <f>IF(ISNUMBER((('Resol  Asuntos'!D15/NºAsuntos!G15)-Datos!BF15)/Datos!BF15),(('Resol  Asuntos'!D15/NºAsuntos!G15)-Datos!BF15)/Datos!BF15," - ")</f>
        <v>-0.23589743589743584</v>
      </c>
      <c r="K15" s="478">
        <f>IF(ISNUMBER((((NºAsuntos!C15+NºAsuntos!E15)/NºAsuntos!G15)-Datos!BG15)/Datos!BG15),(((NºAsuntos!C15+NºAsuntos!E15)/NºAsuntos!G15)-Datos!BG15)/Datos!BG15," - ")</f>
        <v>0.11114439784301984</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-0.44482758620689655</v>
      </c>
      <c r="C17" s="472">
        <f>IF(ISNUMBER(
   IF(D_I="SI",(Datos!J17-Datos!T17)/Datos!T17,(Datos!J17+Datos!AD17-(Datos!T17+Datos!AL17))/(Datos!T17+Datos!AL17))
     ),IF(D_I="SI",(Datos!J17-Datos!T17)/Datos!T17,(Datos!J17+Datos!AD17-(Datos!T17+Datos!AL17))/(Datos!T17+Datos!AL17))," - ")</f>
        <v>0.16012084592145015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-0.29457364341085274</v>
      </c>
      <c r="F17" s="472">
        <f>IF(ISNUMBER((Datos!M17-Datos!W17)/Datos!W17),(Datos!M17-Datos!W17)/Datos!W17," - ")</f>
        <v>-0.24285714285714285</v>
      </c>
      <c r="G17" s="473">
        <f>IF(ISNUMBER((Datos!N17-Datos!X17)/Datos!X17),(Datos!N17-Datos!X17)/Datos!X17," - ")</f>
        <v>0.18433179723502305</v>
      </c>
      <c r="H17" s="471">
        <f>IF(ISNUMBER(((NºAsuntos!G17/NºAsuntos!E17)-Datos!BD17)/Datos!BD17),((NºAsuntos!G17/NºAsuntos!E17)-Datos!BD17)/Datos!BD17," - ")</f>
        <v>-0.1380208333333334</v>
      </c>
      <c r="I17" s="472">
        <f>IF(ISNUMBER(((NºAsuntos!I17/NºAsuntos!G17)-Datos!BE17)/Datos!BE17),((NºAsuntos!I17/NºAsuntos!G17)-Datos!BE17)/Datos!BE17," - ")</f>
        <v>-0.29457364341085274</v>
      </c>
      <c r="J17" s="477">
        <f>IF(ISNUMBER((('Resol  Asuntos'!D17/NºAsuntos!G17)-Datos!BF17)/Datos!BF17),(('Resol  Asuntos'!D17/NºAsuntos!G17)-Datos!BF17)/Datos!BF17," - ")</f>
        <v>-0.24285714285714285</v>
      </c>
      <c r="K17" s="478">
        <f>IF(ISNUMBER((((NºAsuntos!C17+NºAsuntos!E17)/NºAsuntos!G17)-Datos!BG17)/Datos!BG17),(((NºAsuntos!C17+NºAsuntos!E17)/NºAsuntos!G17)-Datos!BG17)/Datos!BG17," - ")</f>
        <v>-0.12238325281803548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9.5238095238095247E-3</v>
      </c>
      <c r="C18" s="1001">
        <f>IF(ISNUMBER(
   IF(Criterios!B14="SI",(Datos!J18-Datos!T18)/Datos!T18,(Datos!J18+Datos!AD18-(Datos!T18+Datos!AL18))/(Datos!T18+Datos!AL18))
     ),IF(Criterios!B14="SI",(Datos!J18-Datos!T18)/Datos!T18,(Datos!J18+Datos!AD18-(Datos!T18+Datos!AL18))/(Datos!T18+Datos!AL18))," - ")</f>
        <v>0.12242211496270294</v>
      </c>
      <c r="D18" s="1001">
        <f>IF(ISNUMBER(
   IF(Criterios!B14="SI",(Datos!K18-Datos!U18)/Datos!U18,(Datos!K18+Datos!AE18-(Datos!U18+Datos!AM18))/(Datos!U18+Datos!AM18))
     ),IF(Criterios!B14="SI",(Datos!K18-Datos!U18)/Datos!U18,(Datos!K18+Datos!AE18-(Datos!U18+Datos!AM18))/(Datos!U18+Datos!AM18))," - ")</f>
        <v>0</v>
      </c>
      <c r="E18" s="1001">
        <f>IF(ISNUMBER(
   IF(Criterios!B14="SI",(Datos!L18-Datos!V18)/Datos!V18,(Datos!L18+Datos!AF18-(Datos!V18+Datos!AN18))/(Datos!V18+Datos!AN18))
     ),IF(Criterios!B14="SI",(Datos!L18-Datos!V18)/Datos!V18,(Datos!L18+Datos!AF18-(Datos!V18+Datos!AN18))/(Datos!V18+Datos!AN18))," - ")</f>
        <v>0.19642857142857142</v>
      </c>
      <c r="F18" s="1002">
        <f>IF(ISNUMBER((Datos!M18-Datos!W18)/Datos!W18),(Datos!M18-Datos!W18)/Datos!W18," - ")</f>
        <v>-0.23773584905660378</v>
      </c>
      <c r="G18" s="1003">
        <f>IF(ISNUMBER((Datos!N18-Datos!X18)/Datos!X18),(Datos!N18-Datos!X18)/Datos!X18," - ")</f>
        <v>-1.4751075599262446E-2</v>
      </c>
      <c r="H18" s="1003">
        <f>IF(ISNUMBER(((NºAsuntos!G18/NºAsuntos!E18)-Datos!BD18)/Datos!BD18),((NºAsuntos!G18/NºAsuntos!E18)-Datos!BD18)/Datos!BD18," - ")</f>
        <v>-0.10906958561376086</v>
      </c>
      <c r="I18" s="1003">
        <f>IF(ISNUMBER(((NºAsuntos!I18/NºAsuntos!G18)-Datos!BE18)/Datos!BE18),((NºAsuntos!I18/NºAsuntos!G18)-Datos!BE18)/Datos!BE18," - ")</f>
        <v>0.19642857142857131</v>
      </c>
      <c r="J18" s="1003">
        <f>IF(ISNUMBER((('Resol  Asuntos'!D18/NºAsuntos!G18)-Datos!BF18)/Datos!BF18),(('Resol  Asuntos'!D18/NºAsuntos!G18)-Datos!BF18)/Datos!BF18," - ")</f>
        <v>-0.23773584905660375</v>
      </c>
      <c r="K18" s="1003">
        <f>IF(ISNUMBER((((NºAsuntos!C18+NºAsuntos!E18)/NºAsuntos!G18)-Datos!BG18)/Datos!BG18),(((NºAsuntos!C18+NºAsuntos!E18)/NºAsuntos!G18)-Datos!BG18)/Datos!BG18," - ")</f>
        <v>7.4513766102551185E-2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0.26175949616217281</v>
      </c>
      <c r="C19" s="948">
        <f>IF(ISNUMBER(
   IF(J_V="SI",(Datos!J19-Datos!T19)/Datos!T19,(Datos!J19+Datos!Z19-(Datos!T19+Datos!AH19))/(Datos!T19+Datos!AH19))
     ),IF(J_V="SI",(Datos!J19-Datos!T19)/Datos!T19,(Datos!J19+Datos!Z19-(Datos!T19+Datos!AH19))/(Datos!T19+Datos!AH19))," - ")</f>
        <v>0.11423012784880489</v>
      </c>
      <c r="D19" s="948">
        <f>IF(ISNUMBER(
   IF(J_V="SI",(Datos!K19-Datos!U19)/Datos!U19,(Datos!K19+Datos!AA19-(Datos!U19+Datos!AI19))/(Datos!U19+Datos!AI19))
     ),IF(J_V="SI",(Datos!K19-Datos!U19)/Datos!U19,(Datos!K19+Datos!AA19-(Datos!U19+Datos!AI19))/(Datos!U19+Datos!AI19))," - ")</f>
        <v>0.11137511137511137</v>
      </c>
      <c r="E19" s="948">
        <f>IF(ISNUMBER(
   IF(J_V="SI",(Datos!L19-Datos!V19)/Datos!V19,(Datos!L19+Datos!AB19-(Datos!V19+Datos!AJ19))/(Datos!V19+Datos!AJ19))
     ),IF(J_V="SI",(Datos!L19-Datos!V19)/Datos!V19,(Datos!L19+Datos!AB19-(Datos!V19+Datos!AJ19))/(Datos!V19+Datos!AJ19))," - ")</f>
        <v>0.26223644578313254</v>
      </c>
      <c r="F19" s="949">
        <f>IF(ISNUMBER((Datos!M19-Datos!W19)/Datos!W19),(Datos!M19-Datos!W19)/Datos!W19," - ")</f>
        <v>-5.0290135396518373E-2</v>
      </c>
      <c r="G19" s="950">
        <f>IF(ISNUMBER((Datos!N19-Datos!X19)/Datos!X19),(Datos!N19-Datos!X19)/Datos!X19," - ")</f>
        <v>4.142011834319527E-2</v>
      </c>
      <c r="H19" s="951">
        <f>IF(ISNUMBER((Tasas!B19-Datos!BD19)/Datos!BD19),(Tasas!B19-Datos!BD19)/Datos!BD19," - ")</f>
        <v>-2.5623220933772236E-3</v>
      </c>
      <c r="I19" s="952">
        <f>IF(ISNUMBER((Tasas!C19-Datos!BE19)/Datos!BE19),(Tasas!C19-Datos!BE19)/Datos!BE19," - ")</f>
        <v>0.13574294841042417</v>
      </c>
      <c r="J19" s="953">
        <f>IF(ISNUMBER((Tasas!D19-Datos!BF19)/Datos!BF19),(Tasas!D19-Datos!BF19)/Datos!BF19," - ")</f>
        <v>-0.34158713949918795</v>
      </c>
      <c r="K19" s="953">
        <f>IF(ISNUMBER((Tasas!E19-Datos!BG19)/Datos!BG19),(Tasas!E19-Datos!BG19)/Datos!BG19," - ")</f>
        <v>8.0282557238212107E-2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AtovMK5iittvu7NIODGGsFT67qjb9pUNywAUkEJgsyCVcRo+QDE+7MvJD/FIiAV3d1S5yQbPSYjEJM2JdCyTw==" saltValue="f4RFftPeITYR0V6IYaFj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MANACOR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0.97970608817354798</v>
      </c>
      <c r="C9" s="459">
        <f>IF(ISNUMBER(NºAsuntos!I9/NºAsuntos!G9),NºAsuntos!I9/NºAsuntos!G9," - ")</f>
        <v>3.2692857142857141</v>
      </c>
      <c r="D9" s="460">
        <f>IF(ISNUMBER('Resol  Asuntos'!D9/NºAsuntos!G9),'Resol  Asuntos'!D9/NºAsuntos!G9," - ")</f>
        <v>0.20428571428571429</v>
      </c>
      <c r="E9" s="461">
        <f>IF(ISNUMBER((NºAsuntos!C9+NºAsuntos!E9)/NºAsuntos!G9),(NºAsuntos!C9+NºAsuntos!E9)/NºAsuntos!G9," - ")</f>
        <v>4.2671428571428569</v>
      </c>
      <c r="G9" s="479"/>
    </row>
    <row r="10" spans="1:7">
      <c r="A10" s="413" t="str">
        <f>Datos!A10</f>
        <v>Jdos. Violencia contra la mujer</v>
      </c>
      <c r="B10" s="458">
        <f>IF(ISNUMBER(NºAsuntos!G10/NºAsuntos!E10),NºAsuntos!G10/NºAsuntos!E10," - ")</f>
        <v>0.31818181818181818</v>
      </c>
      <c r="C10" s="459">
        <f>IF(ISNUMBER(NºAsuntos!I10/NºAsuntos!G10),NºAsuntos!I10/NºAsuntos!G10," - ")</f>
        <v>26.428571428571427</v>
      </c>
      <c r="D10" s="460">
        <f>IF(ISNUMBER('Resol  Asuntos'!D10/NºAsuntos!G10),'Resol  Asuntos'!D10/NºAsuntos!G10," - ")</f>
        <v>0.42857142857142855</v>
      </c>
      <c r="E10" s="461">
        <f>IF(ISNUMBER((NºAsuntos!C10+NºAsuntos!E10)/NºAsuntos!G10),(NºAsuntos!C10+NºAsuntos!E10)/NºAsuntos!G10," - ")</f>
        <v>27.428571428571427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0.96967608545830464</v>
      </c>
      <c r="C13" s="1005">
        <f>IF(ISNUMBER(NºAsuntos!I13/NºAsuntos!G13),NºAsuntos!I13/NºAsuntos!G13," - ")</f>
        <v>3.3845060412224592</v>
      </c>
      <c r="D13" s="1006">
        <f>IF(ISNUMBER('Resol  Asuntos'!D13/NºAsuntos!G13),'Resol  Asuntos'!D13/NºAsuntos!G13," - ")</f>
        <v>0.20540156361051884</v>
      </c>
      <c r="E13" s="1007">
        <f>IF(ISNUMBER((NºAsuntos!C13+NºAsuntos!E13)/NºAsuntos!G13),(NºAsuntos!C13+NºAsuntos!E13)/NºAsuntos!G13," - ")</f>
        <v>4.3823738450604122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0.90708371665133392</v>
      </c>
      <c r="C15" s="459">
        <f>IF(ISNUMBER(NºAsuntos!I15/NºAsuntos!G15),NºAsuntos!I15/NºAsuntos!G15," - ")</f>
        <v>0.89300202839756593</v>
      </c>
      <c r="D15" s="460">
        <f>IF(ISNUMBER('Resol  Asuntos'!D15/NºAsuntos!G15),'Resol  Asuntos'!D15/NºAsuntos!G15," - ")</f>
        <v>7.5557809330628806E-2</v>
      </c>
      <c r="E15" s="461">
        <f>IF(ISNUMBER((NºAsuntos!C15+NºAsuntos!E15)/NºAsuntos!G15),(NºAsuntos!C15+NºAsuntos!E15)/NºAsuntos!G15," - ")</f>
        <v>1.8808316430020284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0.9453125</v>
      </c>
      <c r="C17" s="459">
        <f>IF(ISNUMBER(NºAsuntos!I17/NºAsuntos!G17),NºAsuntos!I17/NºAsuntos!G17," - ")</f>
        <v>0.50137741046831952</v>
      </c>
      <c r="D17" s="460">
        <f>IF(ISNUMBER('Resol  Asuntos'!D17/NºAsuntos!G17),'Resol  Asuntos'!D17/NºAsuntos!G17," - ")</f>
        <v>0.14600550964187328</v>
      </c>
      <c r="E17" s="461">
        <f>IF(ISNUMBER((NºAsuntos!C17+NºAsuntos!E17)/NºAsuntos!G17),(NºAsuntos!C17+NºAsuntos!E17)/NºAsuntos!G17," - ")</f>
        <v>1.5013774104683195</v>
      </c>
      <c r="G17" s="479"/>
    </row>
    <row r="18" spans="1:7" ht="14.25" thickTop="1" thickBot="1">
      <c r="A18" s="994" t="str">
        <f>Datos!A18</f>
        <v>TOTAL</v>
      </c>
      <c r="B18" s="1004">
        <f>IF(ISNUMBER(NºAsuntos!G18/NºAsuntos!E18),NºAsuntos!G18/NºAsuntos!E18," - ")</f>
        <v>0.91282251759186861</v>
      </c>
      <c r="C18" s="1005">
        <f>IF(ISNUMBER(NºAsuntos!I18/NºAsuntos!G18),NºAsuntos!I18/NºAsuntos!G18," - ")</f>
        <v>0.83211991434689503</v>
      </c>
      <c r="D18" s="1008">
        <f>IF(ISNUMBER('Resol  Asuntos'!D18/NºAsuntos!G18),'Resol  Asuntos'!D18/NºAsuntos!G18," - ")</f>
        <v>8.6509635974304069E-2</v>
      </c>
      <c r="E18" s="1007">
        <f>IF(ISNUMBER((NºAsuntos!C18+NºAsuntos!E18)/NºAsuntos!G18),(NºAsuntos!C18+NºAsuntos!E18)/NºAsuntos!G18," - ")</f>
        <v>1.8218415417558886</v>
      </c>
      <c r="G18" s="479"/>
    </row>
    <row r="19" spans="1:7" ht="15.75" customHeight="1" thickTop="1" thickBot="1">
      <c r="A19" s="939" t="str">
        <f>Datos!A19</f>
        <v>TOTAL JURISDICCIONES</v>
      </c>
      <c r="B19" s="954">
        <f>IF(ISNUMBER(NºAsuntos!G19/NºAsuntos!E19),NºAsuntos!G19/NºAsuntos!E19," - ")</f>
        <v>0.93339985033674233</v>
      </c>
      <c r="C19" s="955">
        <f>IF(ISNUMBER(NºAsuntos!I19/NºAsuntos!G19),NºAsuntos!I19/NºAsuntos!G19," - ")</f>
        <v>1.7918225547835382</v>
      </c>
      <c r="D19" s="956">
        <f>IF(ISNUMBER('Resol  Asuntos'!D19/NºAsuntos!G19),'Resol  Asuntos'!D19/NºAsuntos!G19," - ")</f>
        <v>0.13121325494388028</v>
      </c>
      <c r="E19" s="957">
        <f>IF(ISNUMBER((NºAsuntos!C19+NºAsuntos!E19)/NºAsuntos!G19),(NºAsuntos!C19+NºAsuntos!E19)/NºAsuntos!G19," - ")</f>
        <v>2.7846071619454835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05frI8/ULgLxe1kJxfY0lL+pEdADuixqKGjwdLnqctLpI1VXqX5wIgKvp4YXkw15ClXzrWY3Ch0OAwWadkfpA==" saltValue="rZg/to6mWpj5cddX1PqY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MANACOR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352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464</v>
      </c>
      <c r="Y9" s="343">
        <f>SUM(W9:X9)</f>
        <v>464</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6372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286</v>
      </c>
      <c r="AJ9" s="233" t="str">
        <f>IF(ISNUMBER(Datos!BW9),Datos!BW9," - ")</f>
        <v xml:space="preserve"> - </v>
      </c>
      <c r="AK9" s="232" t="str">
        <f>IF(ISNUMBER(Datos!BX9),Datos!BX9," - ")</f>
        <v xml:space="preserve"> - </v>
      </c>
      <c r="AL9" s="247">
        <f>IF(ISNUMBER(NºAsuntos!G9/NºAsuntos!E9),NºAsuntos!G9/NºAsuntos!E9," - ")</f>
        <v>0.97970608817354798</v>
      </c>
      <c r="AM9" s="264">
        <f>IF(ISNUMBER(((NºAsuntos!I9/NºAsuntos!G9)*11)/factor_trimestre),((NºAsuntos!I9/NºAsuntos!G9)*11)/factor_trimestre," - ")</f>
        <v>6.5385714285714291</v>
      </c>
      <c r="AN9" s="248">
        <f>IF(ISNUMBER('Resol  Asuntos'!D9/NºAsuntos!G9),'Resol  Asuntos'!D9/NºAsuntos!G9," - ")</f>
        <v>0.20428571428571429</v>
      </c>
      <c r="AO9" s="249">
        <f>IF(ISNUMBER((NºAsuntos!C9+NºAsuntos!E9)/NºAsuntos!G9),(NºAsuntos!C9+NºAsuntos!E9)/NºAsuntos!G9," - ")</f>
        <v>4.2671428571428569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170</v>
      </c>
      <c r="G10" s="342">
        <f>IF(ISNUMBER(Datos!I10),Datos!I10," - ")</f>
        <v>170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185</v>
      </c>
      <c r="AB10" s="343">
        <f>IF(ISNUMBER(Datos!R10),Datos!R10," - ")</f>
        <v>78</v>
      </c>
      <c r="AC10" s="343">
        <f t="shared" ref="AC10:AC12" si="1">IF(ISNUMBER(AA10+AB10),AA10+AB10," - ")</f>
        <v>263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0.31818181818181818</v>
      </c>
      <c r="AM10" s="264">
        <f>IF(ISNUMBER(((NºAsuntos!I10/NºAsuntos!G10)*11)/factor_trimestre),((NºAsuntos!I10/NºAsuntos!G10)*11)/factor_trimestre," - ")</f>
        <v>52.857142857142861</v>
      </c>
      <c r="AN10" s="248">
        <f>IF(ISNUMBER('Resol  Asuntos'!D10/NºAsuntos!G10),'Resol  Asuntos'!D10/NºAsuntos!G10," - ")</f>
        <v>0.42857142857142855</v>
      </c>
      <c r="AO10" s="249">
        <f>IF(ISNUMBER((NºAsuntos!C10+NºAsuntos!E10)/NºAsuntos!G10),(NºAsuntos!C10+NºAsuntos!E10)/NºAsuntos!G10," - ")</f>
        <v>27.428571428571427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170</v>
      </c>
      <c r="G13" s="1012">
        <f t="shared" si="3"/>
        <v>170</v>
      </c>
      <c r="H13" s="1011">
        <f t="shared" si="3"/>
        <v>0</v>
      </c>
      <c r="I13" s="1013">
        <f t="shared" si="3"/>
        <v>0</v>
      </c>
      <c r="J13" s="1013">
        <f t="shared" si="3"/>
        <v>0</v>
      </c>
      <c r="K13" s="1013">
        <f t="shared" si="3"/>
        <v>0</v>
      </c>
      <c r="L13" s="1013">
        <f t="shared" si="3"/>
        <v>359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464</v>
      </c>
      <c r="Y13" s="1014">
        <f t="shared" si="4"/>
        <v>471</v>
      </c>
      <c r="Z13" s="1014">
        <f t="shared" si="4"/>
        <v>0</v>
      </c>
      <c r="AA13" s="1014">
        <f t="shared" si="4"/>
        <v>185</v>
      </c>
      <c r="AB13" s="1014">
        <f t="shared" si="4"/>
        <v>6450</v>
      </c>
      <c r="AC13" s="1014">
        <f t="shared" si="4"/>
        <v>263</v>
      </c>
      <c r="AD13" s="1014">
        <f t="shared" si="4"/>
        <v>0</v>
      </c>
      <c r="AE13" s="1018">
        <f t="shared" si="4"/>
        <v>0</v>
      </c>
      <c r="AF13" s="1011">
        <f t="shared" si="4"/>
        <v>0</v>
      </c>
      <c r="AG13" s="1019">
        <f t="shared" si="4"/>
        <v>0</v>
      </c>
      <c r="AH13" s="1016">
        <f t="shared" si="4"/>
        <v>0</v>
      </c>
      <c r="AI13" s="1011">
        <f t="shared" si="4"/>
        <v>289</v>
      </c>
      <c r="AJ13" s="1013">
        <f t="shared" si="4"/>
        <v>0</v>
      </c>
      <c r="AK13" s="1016">
        <f>SUBTOTAL(9,AK9:AK12)</f>
        <v>0</v>
      </c>
      <c r="AL13" s="1020">
        <f>IF(ISNUMBER(NºAsuntos!G13/NºAsuntos!E13),NºAsuntos!G13/NºAsuntos!E13," - ")</f>
        <v>0.96967608545830464</v>
      </c>
      <c r="AM13" s="1020">
        <f>IF(ISNUMBER(((NºAsuntos!I13/NºAsuntos!G13)*11)/factor_trimestre),((NºAsuntos!I13/NºAsuntos!G13)*11)/factor_trimestre," - ")</f>
        <v>6.7690120824449176</v>
      </c>
      <c r="AN13" s="1021">
        <f>IF(ISNUMBER('Resol  Asuntos'!D13/NºAsuntos!G13),'Resol  Asuntos'!D13/NºAsuntos!G13," - ")</f>
        <v>0.20540156361051884</v>
      </c>
      <c r="AO13" s="1022">
        <f>IF(ISNUMBER((NºAsuntos!C13+NºAsuntos!E13)/NºAsuntos!G13),(NºAsuntos!C13+NºAsuntos!E13)/NºAsuntos!G13," - ")</f>
        <v>4.3823738450604122</v>
      </c>
      <c r="AP13" s="1023" t="str">
        <f t="shared" si="2"/>
        <v xml:space="preserve"> - </v>
      </c>
      <c r="AQ13" s="1023">
        <f>IF(ISNUMBER((H13-W13+K13)/(F13)),(H13-W13+K13)/(F13)," - ")</f>
        <v>-4.1176470588235294E-2</v>
      </c>
      <c r="AR13" s="1024">
        <f>IF(ISNUMBER((Datos!P13-Datos!Q13)/(Datos!R13-Datos!P13+Datos!Q13)),(Datos!P13-Datos!Q13)/(Datos!R13-Datos!P13+Datos!Q13)," - ")</f>
        <v>-1.6018306636155607E-2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1559</v>
      </c>
      <c r="G15" s="342">
        <f>IF(ISNUMBER(IF(D_I="SI",Datos!I15,Datos!I15+Datos!AC15)),IF(D_I="SI",Datos!I15,Datos!I15+Datos!AC15)," - ")</f>
        <v>1535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28</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1972</v>
      </c>
      <c r="X15" s="230">
        <f>IF(ISNUMBER(Datos!Q15),Datos!Q15," - ")</f>
        <v>25</v>
      </c>
      <c r="Y15" s="343">
        <f>SUM(W15)</f>
        <v>1972</v>
      </c>
      <c r="Z15" s="344" t="str">
        <f>IF(ISNUMBER(Datos!CC15),Datos!CC15," - ")</f>
        <v xml:space="preserve"> - </v>
      </c>
      <c r="AA15" s="341">
        <f>IF(ISNUMBER(IF(D_I="SI",Datos!L15,Datos!L15+Datos!AF15)),IF(D_I="SI",Datos!L15,Datos!L15+Datos!AF15)," - ")</f>
        <v>1761</v>
      </c>
      <c r="AB15" s="343">
        <f>IF(ISNUMBER(Datos!R15),Datos!R15," - ")</f>
        <v>167</v>
      </c>
      <c r="AC15" s="343">
        <f t="shared" ref="AC15:AC17" si="6">IF(ISNUMBER(AA15+AB15),AA15+AB15," - ")</f>
        <v>1928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149</v>
      </c>
      <c r="AJ15" s="235" t="str">
        <f>IF(ISNUMBER(Datos!BW15),Datos!BW15," - ")</f>
        <v xml:space="preserve"> - </v>
      </c>
      <c r="AK15" s="236" t="str">
        <f>IF(ISNUMBER(Datos!BX15),Datos!BX15," - ")</f>
        <v xml:space="preserve"> - </v>
      </c>
      <c r="AL15" s="247">
        <f>IF(ISNUMBER(NºAsuntos!G15/NºAsuntos!E15),NºAsuntos!G15/NºAsuntos!E15," - ")</f>
        <v>0.90708371665133392</v>
      </c>
      <c r="AM15" s="264">
        <f>IF(ISNUMBER(((NºAsuntos!I15/NºAsuntos!G15)*11)/factor_trimestre),((NºAsuntos!I15/NºAsuntos!G15)*11)/factor_trimestre," - ")</f>
        <v>1.7860040567951321</v>
      </c>
      <c r="AN15" s="248">
        <f>IF(ISNUMBER('Resol  Asuntos'!D15/NºAsuntos!G15),'Resol  Asuntos'!D15/NºAsuntos!G15," - ")</f>
        <v>7.5557809330628806E-2</v>
      </c>
      <c r="AO15" s="249">
        <f>IF(ISNUMBER((NºAsuntos!C15+NºAsuntos!E15)/NºAsuntos!G15),(NºAsuntos!C15+NºAsuntos!E15)/NºAsuntos!G15," - ")</f>
        <v>1.8808316430020284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363</v>
      </c>
      <c r="X17" s="230">
        <f>IF(ISNUMBER(Datos!Q17),Datos!Q17," - ")</f>
        <v>6</v>
      </c>
      <c r="Y17" s="343">
        <f t="shared" si="7"/>
        <v>369</v>
      </c>
      <c r="Z17" s="344" t="str">
        <f>IF(ISNUMBER(Datos!CC17),Datos!CC17," - ")</f>
        <v xml:space="preserve"> - </v>
      </c>
      <c r="AA17" s="341">
        <f>IF(ISNUMBER(Datos!L17),Datos!L17,"-")</f>
        <v>182</v>
      </c>
      <c r="AB17" s="343">
        <f>IF(ISNUMBER(Datos!R17),Datos!R17," - ")</f>
        <v>44</v>
      </c>
      <c r="AC17" s="343">
        <f t="shared" si="6"/>
        <v>226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53</v>
      </c>
      <c r="AJ17" s="235" t="str">
        <f>IF(ISNUMBER(Datos!BW17),Datos!BW17," - ")</f>
        <v xml:space="preserve"> - </v>
      </c>
      <c r="AK17" s="236" t="str">
        <f>IF(ISNUMBER(Datos!BX17),Datos!BX17," - ")</f>
        <v xml:space="preserve"> - </v>
      </c>
      <c r="AL17" s="247">
        <f>IF(ISNUMBER(NºAsuntos!G17/NºAsuntos!E17),NºAsuntos!G17/NºAsuntos!E17," - ")</f>
        <v>0.9453125</v>
      </c>
      <c r="AM17" s="264">
        <f>IF(ISNUMBER(((NºAsuntos!I17/NºAsuntos!G17)*11)/factor_trimestre),((NºAsuntos!I17/NºAsuntos!G17)*11)/factor_trimestre," - ")</f>
        <v>1.002754820936639</v>
      </c>
      <c r="AN17" s="248">
        <f>IF(ISNUMBER('Resol  Asuntos'!D17/NºAsuntos!G17),'Resol  Asuntos'!D17/NºAsuntos!G17," - ")</f>
        <v>0.14600550964187328</v>
      </c>
      <c r="AO17" s="249">
        <f>IF(ISNUMBER((NºAsuntos!C17+NºAsuntos!E17)/NºAsuntos!G17),(NºAsuntos!C17+NºAsuntos!E17)/NºAsuntos!G17," - ")</f>
        <v>1.5013774104683195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1559</v>
      </c>
      <c r="G18" s="1012">
        <f>SUBTOTAL(9,G15:G17)</f>
        <v>1696</v>
      </c>
      <c r="H18" s="1011">
        <f t="shared" ref="H18:O18" si="10">SUBTOTAL(9,H14:H17)</f>
        <v>0</v>
      </c>
      <c r="I18" s="1013">
        <f t="shared" si="10"/>
        <v>0</v>
      </c>
      <c r="J18" s="1013">
        <f t="shared" si="10"/>
        <v>0</v>
      </c>
      <c r="K18" s="1013">
        <f t="shared" si="10"/>
        <v>0</v>
      </c>
      <c r="L18" s="1013">
        <f t="shared" si="10"/>
        <v>38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2335</v>
      </c>
      <c r="X18" s="1013">
        <f t="shared" si="11"/>
        <v>31</v>
      </c>
      <c r="Y18" s="1014">
        <f t="shared" si="11"/>
        <v>2341</v>
      </c>
      <c r="Z18" s="1014">
        <f t="shared" si="11"/>
        <v>0</v>
      </c>
      <c r="AA18" s="1014">
        <f t="shared" si="11"/>
        <v>1943</v>
      </c>
      <c r="AB18" s="1014">
        <f t="shared" si="11"/>
        <v>211</v>
      </c>
      <c r="AC18" s="1014">
        <f t="shared" si="11"/>
        <v>2154</v>
      </c>
      <c r="AD18" s="1014">
        <f t="shared" si="11"/>
        <v>0</v>
      </c>
      <c r="AE18" s="1018">
        <f t="shared" si="11"/>
        <v>0</v>
      </c>
      <c r="AF18" s="1011">
        <f t="shared" si="11"/>
        <v>0</v>
      </c>
      <c r="AG18" s="1019">
        <f t="shared" si="11"/>
        <v>0</v>
      </c>
      <c r="AH18" s="1016">
        <f t="shared" si="11"/>
        <v>0</v>
      </c>
      <c r="AI18" s="1011">
        <f t="shared" si="11"/>
        <v>202</v>
      </c>
      <c r="AJ18" s="1013">
        <f t="shared" si="11"/>
        <v>0</v>
      </c>
      <c r="AK18" s="1016">
        <f t="shared" si="11"/>
        <v>0</v>
      </c>
      <c r="AL18" s="1020">
        <f>IF(ISNUMBER(NºAsuntos!G18/NºAsuntos!E18),NºAsuntos!G18/NºAsuntos!E18," - ")</f>
        <v>0.91282251759186861</v>
      </c>
      <c r="AM18" s="1020">
        <f>IF(ISNUMBER(((NºAsuntos!I18/NºAsuntos!G18)*11)/factor_trimestre),((NºAsuntos!I18/NºAsuntos!G18)*11)/factor_trimestre," - ")</f>
        <v>1.6642398286937903</v>
      </c>
      <c r="AN18" s="1021">
        <f>IF(ISNUMBER('Resol  Asuntos'!D18/NºAsuntos!G18),'Resol  Asuntos'!D18/NºAsuntos!G18," - ")</f>
        <v>8.6509635974304069E-2</v>
      </c>
      <c r="AO18" s="1022">
        <f>IF(ISNUMBER((NºAsuntos!C18+NºAsuntos!E18)/NºAsuntos!G18),(NºAsuntos!C18+NºAsuntos!E18)/NºAsuntos!G18," - ")</f>
        <v>1.8218415417558886</v>
      </c>
      <c r="AP18" s="1023" t="str">
        <f t="shared" si="2"/>
        <v xml:space="preserve"> - </v>
      </c>
      <c r="AQ18" s="1023">
        <f>IF(ISNUMBER((H18-W18+K18)/(F18)),(H18-W18+K18)/(F18)," - ")</f>
        <v>-1.4977549711353431</v>
      </c>
      <c r="AR18" s="1024">
        <f>IF(ISNUMBER((Datos!P18-Datos!Q18)/(Datos!R18-Datos!P18+Datos!Q18)),(Datos!P18-Datos!Q18)/(Datos!R18-Datos!P18+Datos!Q18)," - ")</f>
        <v>3.4313725490196081E-2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1729</v>
      </c>
      <c r="G19" s="967">
        <f t="shared" si="13"/>
        <v>1866</v>
      </c>
      <c r="H19" s="966">
        <f t="shared" si="13"/>
        <v>0</v>
      </c>
      <c r="I19" s="968">
        <f t="shared" si="13"/>
        <v>0</v>
      </c>
      <c r="J19" s="968">
        <f t="shared" si="13"/>
        <v>0</v>
      </c>
      <c r="K19" s="1027">
        <f t="shared" si="13"/>
        <v>0</v>
      </c>
      <c r="L19" s="968">
        <f t="shared" si="13"/>
        <v>397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2342</v>
      </c>
      <c r="X19" s="967">
        <f t="shared" si="14"/>
        <v>495</v>
      </c>
      <c r="Y19" s="974">
        <f t="shared" si="14"/>
        <v>2812</v>
      </c>
      <c r="Z19" s="974">
        <f t="shared" si="14"/>
        <v>0</v>
      </c>
      <c r="AA19" s="974">
        <f t="shared" si="14"/>
        <v>2128</v>
      </c>
      <c r="AB19" s="974">
        <f t="shared" si="14"/>
        <v>6661</v>
      </c>
      <c r="AC19" s="974">
        <f t="shared" si="14"/>
        <v>2417</v>
      </c>
      <c r="AD19" s="974">
        <f t="shared" si="14"/>
        <v>0</v>
      </c>
      <c r="AE19" s="976">
        <f t="shared" si="14"/>
        <v>0</v>
      </c>
      <c r="AF19" s="977">
        <f t="shared" si="14"/>
        <v>0</v>
      </c>
      <c r="AG19" s="978">
        <f t="shared" si="14"/>
        <v>0</v>
      </c>
      <c r="AH19" s="976">
        <f t="shared" si="14"/>
        <v>0</v>
      </c>
      <c r="AI19" s="966">
        <f t="shared" si="14"/>
        <v>491</v>
      </c>
      <c r="AJ19" s="966">
        <f t="shared" si="14"/>
        <v>0</v>
      </c>
      <c r="AK19" s="976">
        <f t="shared" si="14"/>
        <v>0</v>
      </c>
      <c r="AL19" s="1030">
        <f>IF(ISNUMBER(NºAsuntos!G19/NºAsuntos!E19),NºAsuntos!G19/NºAsuntos!E19," - ")</f>
        <v>0.93339985033674233</v>
      </c>
      <c r="AM19" s="1031">
        <f>IF(ISNUMBER(((NºAsuntos!I19/NºAsuntos!G19)*11)/factor_trimestre),((NºAsuntos!I19/NºAsuntos!G19)*11)/factor_trimestre," - ")</f>
        <v>3.5836451095670765</v>
      </c>
      <c r="AN19" s="1031">
        <f>IF(ISNUMBER('Resol  Asuntos'!D19/NºAsuntos!G19),'Resol  Asuntos'!D19/NºAsuntos!G19," - ")</f>
        <v>0.13121325494388028</v>
      </c>
      <c r="AO19" s="1032">
        <f>IF(ISNUMBER((NºAsuntos!C19+NºAsuntos!E19)/NºAsuntos!G19),(NºAsuntos!C19+NºAsuntos!E19)/NºAsuntos!G19," - ")</f>
        <v>2.7846071619454835</v>
      </c>
      <c r="AP19" s="1033" t="str">
        <f t="shared" si="2"/>
        <v xml:space="preserve"> - </v>
      </c>
      <c r="AQ19" s="1034">
        <f>IF(OR(ISNUMBER(FIND("01",Criterios!A8,1)),ISNUMBER(FIND("02",Criterios!A8,1)),ISNUMBER(FIND("03",Criterios!A8,1)),ISNUMBER(FIND("04",Criterios!A8,1))),(I19-W19+K19)/(F19-K19),(H19-W19+K19)/(F19-K19))</f>
        <v>-1.3545401966454598</v>
      </c>
      <c r="AR19" s="1035">
        <f>IF(ISNUMBER((Datos!P19-Datos!Q19)/(Datos!R19-Datos!P19+Datos!Q19)),(Datos!P19-Datos!Q19)/(Datos!R19-Datos!P19+Datos!Q19)," - ")</f>
        <v>-1.4499186270158308E-2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746.4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801.93952390439017</v>
      </c>
      <c r="G21" s="257">
        <f>IF(ISNUMBER(STDEV(G8:G18)),STDEV(G8:G18),"-")</f>
        <v>795.42397499698234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1127.486673978899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118.67546783841499</v>
      </c>
      <c r="AJ21" s="256">
        <f t="shared" si="18"/>
        <v>0</v>
      </c>
      <c r="AK21" s="258">
        <f t="shared" si="18"/>
        <v>0</v>
      </c>
      <c r="AL21" s="253">
        <f t="shared" si="18"/>
        <v>0.25671512551690762</v>
      </c>
      <c r="AM21" s="254">
        <f t="shared" si="18"/>
        <v>20.289263982363494</v>
      </c>
      <c r="AN21" s="254">
        <f t="shared" si="18"/>
        <v>0.12891370780651421</v>
      </c>
      <c r="AO21" s="255">
        <f t="shared" si="18"/>
        <v>10.147070297011828</v>
      </c>
      <c r="AP21" s="295" t="str">
        <f t="shared" si="18"/>
        <v>-</v>
      </c>
      <c r="AQ21" s="296">
        <f t="shared" si="18"/>
        <v>1.0299565350673932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lNeLC4eahi1f9uv7m13YEhJDBL4o/QyS7NyyAj9Wj4csWy5gUWLKde6XxP9o9lpSouq9Pc1ILg2TAM2AWMWWQ==" saltValue="aNuCRg5UTeedGls5XSei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MANACOR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0.18181818181818182</v>
      </c>
      <c r="I9" s="359">
        <f>IF(ISNUMBER((Tasas!C9-Datos!BE9)/Datos!BE9),(Tasas!C9-Datos!BE9)/Datos!BE9," - ")</f>
        <v>-7.1944700460829597E-2</v>
      </c>
      <c r="J9" s="358">
        <f>IF(ISNUMBER((Tasas!D9-Datos!BF9)/Datos!BF9),(Tasas!D9-Datos!BF9)/Datos!BF9," - ")</f>
        <v>-0.47793650793650794</v>
      </c>
      <c r="K9" s="360">
        <f>IF(ISNUMBER((Tasas!E9-Datos!BG9)/Datos!BG9),(Tasas!E9-Datos!BG9)/Datos!BG9," - ")</f>
        <v>-5.6511127063890887E-2</v>
      </c>
      <c r="M9" t="e">
        <f>IF(Monitorios="SI",Datos!CE9,0)</f>
        <v>#REF!</v>
      </c>
      <c r="N9" t="e">
        <f>IF(Monitorios="SI",Datos!CF9,0)</f>
        <v>#REF!</v>
      </c>
      <c r="O9" t="e">
        <f>IF(Monitorios="SI",Datos!CG9,0)</f>
        <v>#REF!</v>
      </c>
      <c r="P9" t="e">
        <f>IF(Monitorios="SI",Datos!CH9,0)</f>
        <v>#REF!</v>
      </c>
      <c r="Q9">
        <f>IF(J_V="SI",0,Datos!AG9)</f>
        <v>87</v>
      </c>
      <c r="R9">
        <f>IF(J_V="SI",0,Datos!AH9)</f>
        <v>88</v>
      </c>
      <c r="S9">
        <f>IF(J_V="SI",0,Datos!AI9)</f>
        <v>56</v>
      </c>
      <c r="T9">
        <f>IF(J_V="SI",0,Datos!AJ9)</f>
        <v>119</v>
      </c>
    </row>
    <row r="10" spans="2:20" ht="14.25">
      <c r="B10" s="279" t="s">
        <v>249</v>
      </c>
      <c r="C10" s="7" t="str">
        <f>Datos!A10</f>
        <v>Jdos. Violencia contra la mujer</v>
      </c>
      <c r="D10" s="361">
        <f>IF(ISNUMBER((Datos!I10-Datos!S10)/Datos!S10),(Datos!I10-Datos!S10)/Datos!S10," - ")</f>
        <v>0.29770992366412213</v>
      </c>
      <c r="E10" s="357">
        <f>IF(ISNUMBER((Datos!J10-Datos!T10)/Datos!T10),(Datos!J10-Datos!T10)/Datos!T10," - ")</f>
        <v>0.83333333333333337</v>
      </c>
      <c r="F10" s="357">
        <f>IF(ISNUMBER((Datos!K10-Datos!U10)/Datos!U10),(Datos!K10-Datos!U10)/Datos!U10," - ")</f>
        <v>-0.65</v>
      </c>
      <c r="G10" s="358">
        <f>IF(ISNUMBER((Datos!L10-Datos!V10)/Datos!V10),(Datos!L10-Datos!V10)/Datos!V10," - ")</f>
        <v>0.50406504065040647</v>
      </c>
      <c r="H10" s="234">
        <f>IF(ISNUMBER((Datos!M10-Datos!W10)/Datos!W10),(Datos!M10-Datos!W10)/Datos!W10," - ")</f>
        <v>-0.7</v>
      </c>
      <c r="I10" s="359">
        <f>IF(ISNUMBER((Tasas!C10-Datos!BE10)/Datos!BE10),(Tasas!C10-Datos!BE10)/Datos!BE10," - ")</f>
        <v>3.2973286875725893</v>
      </c>
      <c r="J10" s="358">
        <f>IF(ISNUMBER((Tasas!D10-Datos!BF10)/Datos!BF10),(Tasas!D10-Datos!BF10)/Datos!BF10," - ")</f>
        <v>-0.1428571428571429</v>
      </c>
      <c r="K10" s="360">
        <f>IF(ISNUMBER((Tasas!E10-Datos!BG10)/Datos!BG10),(Tasas!E10-Datos!BG10)/Datos!BG10," - ")</f>
        <v>2.8361638361638355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0.14682539682539683</v>
      </c>
      <c r="I13" s="366">
        <f>IF(ISNUMBER((Tasas!C13-Datos!BE13)/Datos!BE13),(Tasas!C13-Datos!BE13)/Datos!BE13," - ")</f>
        <v>-5.2925641393281507E-2</v>
      </c>
      <c r="J13" s="364">
        <f>IF(ISNUMBER((Tasas!D13-Datos!BF13)/Datos!BF13),(Tasas!D13-Datos!BF13)/Datos!BF13," - ")</f>
        <v>-0.47789553289148901</v>
      </c>
      <c r="K13" s="367">
        <f>IF(ISNUMBER((Tasas!E13-Datos!BG13)/Datos!BG13),(Tasas!E13-Datos!BG13)/Datos!BG13," - ")</f>
        <v>-4.1819955910520082E-2</v>
      </c>
      <c r="M13" t="e">
        <f>IF(Monitorios="SI",Datos!CE13,0)</f>
        <v>#REF!</v>
      </c>
      <c r="N13" t="e">
        <f>IF(Monitorios="SI",Datos!CF13,0)</f>
        <v>#REF!</v>
      </c>
      <c r="O13" t="e">
        <f>IF(Monitorios="SI",Datos!CG13,0)</f>
        <v>#REF!</v>
      </c>
      <c r="P13" t="e">
        <f>IF(Monitorios="SI",Datos!CH13,0)</f>
        <v>#REF!</v>
      </c>
      <c r="Q13">
        <f>IF(J_V="SI",0,Datos!AG13)</f>
        <v>87</v>
      </c>
      <c r="R13">
        <f>IF(J_V="SI",0,Datos!AH13)</f>
        <v>88</v>
      </c>
      <c r="S13">
        <f>IF(J_V="SI",0,Datos!AI13)</f>
        <v>56</v>
      </c>
      <c r="T13">
        <f>IF(J_V="SI",0,Datos!AJ13)</f>
        <v>119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0.10431654676258993</v>
      </c>
      <c r="E15" s="357">
        <f>IF(ISNUMBER(
   IF(D_I="SI",(Datos!J15-Datos!T15)/Datos!T15,(Datos!J15+Datos!AD15-(Datos!T15+Datos!AL15))/(Datos!T15+Datos!AL15))
     ),IF(D_I="SI",(Datos!J15-Datos!T15)/Datos!T15,(Datos!J15+Datos!AD15-(Datos!T15+Datos!AL15))/(Datos!T15+Datos!AL15))," - ")</f>
        <v>0.11601642710472279</v>
      </c>
      <c r="F15" s="357">
        <f>IF(ISNUMBER(
   IF(D_I="SI",(Datos!K15-Datos!U15)/Datos!U15,(Datos!K15+Datos!AE15-(Datos!U15+Datos!AM15))/(Datos!U15+Datos!AM15))
     ),IF(D_I="SI",(Datos!K15-Datos!U15)/Datos!U15,(Datos!K15+Datos!AE15-(Datos!U15+Datos!AM15))/(Datos!U15+Datos!AM15))," - ")</f>
        <v>0</v>
      </c>
      <c r="G15" s="358">
        <f>IF(ISNUMBER(
   IF(D_I="SI",(Datos!L15-Datos!V15)/Datos!V15,(Datos!L15+Datos!AF15-(Datos!V15+Datos!AN15))/(Datos!V15+Datos!AN15))
     ),IF(D_I="SI",(Datos!L15-Datos!V15)/Datos!V15,(Datos!L15+Datos!AF15-(Datos!V15+Datos!AN15))/(Datos!V15+Datos!AN15))," - ")</f>
        <v>0.28916544655929721</v>
      </c>
      <c r="H15" s="234">
        <f>IF(ISNUMBER((Datos!M15-Datos!W15)/Datos!W15),(Datos!M15-Datos!W15)/Datos!W15," - ")</f>
        <v>-0.23589743589743589</v>
      </c>
      <c r="I15" s="359">
        <f>IF(ISNUMBER((Tasas!C15-Datos!BE15)/Datos!BE15),(Tasas!C15-Datos!BE15)/Datos!BE15," - ")</f>
        <v>0.28916544655929716</v>
      </c>
      <c r="J15" s="358">
        <f>IF(ISNUMBER((Tasas!D15-Datos!BF15)/Datos!BF15),(Tasas!D15-Datos!BF15)/Datos!BF15," - ")</f>
        <v>-0.23589743589743584</v>
      </c>
      <c r="K15" s="360">
        <f>IF(ISNUMBER((Tasas!E15-Datos!BG15)/Datos!BG15),(Tasas!E15-Datos!BG15)/Datos!BG15," - ")</f>
        <v>0.11114439784301984</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-0.44482758620689655</v>
      </c>
      <c r="E17" s="357">
        <f>IF(ISNUMBER(
   IF(D_I="SI",(Datos!J17-Datos!T17)/Datos!T17,(Datos!J17+Datos!AD17-(Datos!T17+Datos!AL17))/(Datos!T17+Datos!AL17))
     ),IF(D_I="SI",(Datos!J17-Datos!T17)/Datos!T17,(Datos!J17+Datos!AD17-(Datos!T17+Datos!AL17))/(Datos!T17+Datos!AL17))," - ")</f>
        <v>0.16012084592145015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-0.29457364341085274</v>
      </c>
      <c r="H17" s="234">
        <f>IF(ISNUMBER((Datos!M17-Datos!W17)/Datos!W17),(Datos!M17-Datos!W17)/Datos!W17," - ")</f>
        <v>-0.24285714285714285</v>
      </c>
      <c r="I17" s="359">
        <f>IF(ISNUMBER((Tasas!C17-Datos!BE17)/Datos!BE17),(Tasas!C17-Datos!BE17)/Datos!BE17," - ")</f>
        <v>-0.29457364341085274</v>
      </c>
      <c r="J17" s="358">
        <f>IF(ISNUMBER((Tasas!D17-Datos!BF17)/Datos!BF17),(Tasas!D17-Datos!BF17)/Datos!BF17," - ")</f>
        <v>-0.24285714285714285</v>
      </c>
      <c r="K17" s="360">
        <f>IF(ISNUMBER((Tasas!E17-Datos!BG17)/Datos!BG17),(Tasas!E17-Datos!BG17)/Datos!BG17," - ")</f>
        <v>-0.12238325281803548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9.5238095238095247E-3</v>
      </c>
      <c r="E18" s="363">
        <f>IF(ISNUMBER(
   IF(D_I="SI",(Datos!J18-Datos!T18)/Datos!T18,(Datos!J18+Datos!AD18-(Datos!T18+Datos!AL18))/(Datos!T18+Datos!AL18))
     ),IF(D_I="SI",(Datos!J18-Datos!T18)/Datos!T18,(Datos!J18+Datos!AD18-(Datos!T18+Datos!AL18))/(Datos!T18+Datos!AL18))," - ")</f>
        <v>0.12242211496270294</v>
      </c>
      <c r="F18" s="363">
        <f>IF(ISNUMBER(
   IF(D_I="SI",(Datos!K18-Datos!U18)/Datos!U18,(Datos!K18+Datos!AE18-(Datos!U18+Datos!AM18))/(Datos!U18+Datos!AM18))
     ),IF(D_I="SI",(Datos!K18-Datos!U18)/Datos!U18,(Datos!K18+Datos!AE18-(Datos!U18+Datos!AM18))/(Datos!U18+Datos!AM18))," - ")</f>
        <v>0</v>
      </c>
      <c r="G18" s="364">
        <f>IF(ISNUMBER(
   IF(D_I="SI",(Datos!L18-Datos!V18)/Datos!V18,(Datos!L18+Datos!AF18-(Datos!V18+Datos!AN18))/(Datos!V18+Datos!AN18))
     ),IF(D_I="SI",(Datos!L18-Datos!V18)/Datos!V18,(Datos!L18+Datos!AF18-(Datos!V18+Datos!AN18))/(Datos!V18+Datos!AN18))," - ")</f>
        <v>0.19642857142857142</v>
      </c>
      <c r="H18" s="365">
        <f>IF(ISNUMBER((Datos!M18-Datos!W18)/Datos!W18),(Datos!M18-Datos!W18)/Datos!W18," - ")</f>
        <v>-0.23773584905660378</v>
      </c>
      <c r="I18" s="366">
        <f>IF(ISNUMBER((Tasas!C18-Datos!BE18)/Datos!BE18),(Tasas!C18-Datos!BE18)/Datos!BE18," - ")</f>
        <v>0.19642857142857131</v>
      </c>
      <c r="J18" s="364">
        <f>IF(ISNUMBER((Tasas!D18-Datos!BF18)/Datos!BF18),(Tasas!D18-Datos!BF18)/Datos!BF18," - ")</f>
        <v>-0.23773584905660375</v>
      </c>
      <c r="K18" s="367">
        <f>IF(ISNUMBER((Tasas!E18-Datos!BG18)/Datos!BG18),(Tasas!E18-Datos!BG18)/Datos!BG18," - ")</f>
        <v>7.4513766102551185E-2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0.26175949616217281</v>
      </c>
      <c r="E19" s="372">
        <f>IF(ISNUMBER(
   IF(J_V="SI",(Datos!J19-Datos!T19)/Datos!T19,(Datos!J19+Datos!Z19-(Datos!T19+Datos!AH19))/(Datos!T19+Datos!AH19))
     ),IF(J_V="SI",(Datos!J19-Datos!T19)/Datos!T19,(Datos!J19+Datos!Z19-(Datos!T19+Datos!AH19))/(Datos!T19+Datos!AH19))," - ")</f>
        <v>0.11423012784880489</v>
      </c>
      <c r="F19" s="372">
        <f>IF(ISNUMBER(
   IF(J_V="SI",(Datos!K19-Datos!U19)/Datos!U19,(Datos!K19+Datos!AA19-(Datos!U19+Datos!AI19))/(Datos!U19+Datos!AI19))
     ),IF(J_V="SI",(Datos!K19-Datos!U19)/Datos!U19,(Datos!K19+Datos!AA19-(Datos!U19+Datos!AI19))/(Datos!U19+Datos!AI19))," - ")</f>
        <v>0.11137511137511137</v>
      </c>
      <c r="G19" s="373">
        <f>IF(ISNUMBER(
   IF(J_V="SI",(Datos!L19-Datos!V19)/Datos!V19,(Datos!L19+Datos!AB19-(Datos!V19+Datos!AJ19))/(Datos!V19+Datos!AJ19))
     ),IF(J_V="SI",(Datos!L19-Datos!V19)/Datos!V19,(Datos!L19+Datos!AB19-(Datos!V19+Datos!AJ19))/(Datos!V19+Datos!AJ19))," - ")</f>
        <v>0.26223644578313254</v>
      </c>
      <c r="H19" s="374">
        <f>IF(ISNUMBER((Datos!M19-Datos!W19)/Datos!W19),(Datos!M19-Datos!W19)/Datos!W19," - ")</f>
        <v>-5.0290135396518373E-2</v>
      </c>
      <c r="I19" s="371">
        <f>IF(ISNUMBER((Tasas!C19-Datos!BE19)/Datos!BE19),(Tasas!C19-Datos!BE19)/Datos!BE19," - ")</f>
        <v>0.13574294841042417</v>
      </c>
      <c r="J19" s="372">
        <f>IF(ISNUMBER((Tasas!D19-Datos!BF19)/Datos!BF19),(Tasas!D19-Datos!BF19)/Datos!BF19," - ")</f>
        <v>-0.34158713949918795</v>
      </c>
      <c r="K19" s="373">
        <f>IF(ISNUMBER((Tasas!E19-Datos!BG19)/Datos!BG19),(Tasas!E19-Datos!BG19)/Datos!BG19," - ")</f>
        <v>8.0282557238212107E-2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0.31474782509026106</v>
      </c>
      <c r="E21" s="282">
        <f t="shared" si="1"/>
        <v>0.35078017623647267</v>
      </c>
      <c r="F21" s="282">
        <f t="shared" si="1"/>
        <v>0.32500000000000001</v>
      </c>
      <c r="G21" s="283">
        <f t="shared" si="1"/>
        <v>0.33777216292449647</v>
      </c>
      <c r="H21" s="289">
        <f t="shared" si="1"/>
        <v>0.32203290097286891</v>
      </c>
      <c r="I21" s="281">
        <f t="shared" si="1"/>
        <v>1.3567483130067526</v>
      </c>
      <c r="J21" s="282">
        <f t="shared" si="1"/>
        <v>0.14086515888315607</v>
      </c>
      <c r="K21" s="283">
        <f t="shared" si="1"/>
        <v>1.1639544724478199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RUR1aoqLtHaye0ecI615OPCnF61qrn8u0669kcJIiRqdFZohRmNBG+e/w1bZcD81tsLy+gPqLYbWqXbK8PAqA==" saltValue="0qcQ+aBBSsFdNH3/TcNu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